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590"/>
  </bookViews>
  <sheets>
    <sheet name="0630" sheetId="143" r:id="rId1"/>
    <sheet name="0630 4度C" sheetId="144" r:id="rId2"/>
    <sheet name="0629" sheetId="141" r:id="rId3"/>
    <sheet name="0629 4度C" sheetId="142" r:id="rId4"/>
    <sheet name="0628" sheetId="139" r:id="rId5"/>
    <sheet name="0628 4度C" sheetId="140" r:id="rId6"/>
    <sheet name="0627" sheetId="135" r:id="rId7"/>
    <sheet name="0627 4度C" sheetId="136" r:id="rId8"/>
    <sheet name="0626" sheetId="133" r:id="rId9"/>
    <sheet name="0626 4度C" sheetId="134" r:id="rId10"/>
    <sheet name="0625" sheetId="129" r:id="rId11"/>
    <sheet name="0625 4度C" sheetId="130" r:id="rId12"/>
    <sheet name="0624" sheetId="131" r:id="rId13"/>
    <sheet name="0624 4度C" sheetId="132" r:id="rId14"/>
    <sheet name="0623" sheetId="125" r:id="rId15"/>
    <sheet name="0623 4度C" sheetId="126" r:id="rId16"/>
    <sheet name="0622" sheetId="123" r:id="rId17"/>
    <sheet name="0622 4度C" sheetId="124" r:id="rId18"/>
    <sheet name="0621" sheetId="121" r:id="rId19"/>
    <sheet name="0621 4度C" sheetId="122" r:id="rId20"/>
    <sheet name="0620" sheetId="119" r:id="rId21"/>
    <sheet name="0620 4度C" sheetId="120" r:id="rId22"/>
    <sheet name="0619" sheetId="117" r:id="rId23"/>
    <sheet name="0619 4度C" sheetId="118" r:id="rId24"/>
    <sheet name="0618" sheetId="113" r:id="rId25"/>
    <sheet name="0618 4度C" sheetId="114" r:id="rId26"/>
    <sheet name="0617" sheetId="111" r:id="rId27"/>
    <sheet name="0617 4度C" sheetId="112" r:id="rId28"/>
    <sheet name="0616" sheetId="109" r:id="rId29"/>
    <sheet name="0616 4度C" sheetId="110" r:id="rId30"/>
    <sheet name="0615" sheetId="107" r:id="rId31"/>
    <sheet name="0615 4度C" sheetId="108" r:id="rId32"/>
    <sheet name="0614" sheetId="105" r:id="rId33"/>
    <sheet name="0614 4度C" sheetId="106" r:id="rId34"/>
    <sheet name="0613" sheetId="103" r:id="rId35"/>
    <sheet name="0613 4度C" sheetId="104" r:id="rId36"/>
    <sheet name="0612" sheetId="101" r:id="rId37"/>
    <sheet name="0612 4度C" sheetId="102" r:id="rId38"/>
    <sheet name="0611" sheetId="99" r:id="rId39"/>
    <sheet name="0611 4度C" sheetId="100" r:id="rId40"/>
    <sheet name="0610" sheetId="97" r:id="rId41"/>
    <sheet name="0610 4度C" sheetId="98" r:id="rId42"/>
    <sheet name="0609" sheetId="95" r:id="rId43"/>
    <sheet name="0609 4度C" sheetId="96" r:id="rId44"/>
    <sheet name="0608" sheetId="93" r:id="rId45"/>
    <sheet name="0608 4度C" sheetId="94" r:id="rId46"/>
    <sheet name="0607" sheetId="91" r:id="rId47"/>
    <sheet name="0607 4度C" sheetId="92" r:id="rId48"/>
    <sheet name="0606" sheetId="89" r:id="rId49"/>
    <sheet name="0606 4度C" sheetId="90" r:id="rId50"/>
    <sheet name="0605" sheetId="87" r:id="rId51"/>
    <sheet name="0605 4度C" sheetId="88" r:id="rId52"/>
    <sheet name="0604" sheetId="85" r:id="rId53"/>
    <sheet name="0604 4度C" sheetId="86" r:id="rId54"/>
    <sheet name="0603" sheetId="83" r:id="rId55"/>
    <sheet name="0603 4度C" sheetId="84" r:id="rId56"/>
    <sheet name="0602" sheetId="81" r:id="rId57"/>
    <sheet name="0602 4度C" sheetId="82" r:id="rId58"/>
    <sheet name="0601" sheetId="79" r:id="rId59"/>
    <sheet name="0601 4度C" sheetId="80" r:id="rId60"/>
  </sheets>
  <definedNames>
    <definedName name="_xlnm._FilterDatabase" localSheetId="59" hidden="1">'0601 4度C'!$A$4:$AI$4</definedName>
    <definedName name="_xlnm._FilterDatabase" localSheetId="57" hidden="1">'0602 4度C'!$A$4:$AI$4</definedName>
    <definedName name="_xlnm._FilterDatabase" localSheetId="55" hidden="1">'0603 4度C'!$A$4:$AI$4</definedName>
    <definedName name="_xlnm._FilterDatabase" localSheetId="53" hidden="1">'0604 4度C'!$A$4:$AI$4</definedName>
    <definedName name="_xlnm._FilterDatabase" localSheetId="51" hidden="1">'0605 4度C'!$A$4:$AI$4</definedName>
    <definedName name="_xlnm._FilterDatabase" localSheetId="49" hidden="1">'0606 4度C'!$A$4:$AI$4</definedName>
    <definedName name="_xlnm._FilterDatabase" localSheetId="47" hidden="1">'0607 4度C'!$A$4:$AI$4</definedName>
    <definedName name="_xlnm._FilterDatabase" localSheetId="45" hidden="1">'0608 4度C'!$A$4:$AI$4</definedName>
    <definedName name="_xlnm._FilterDatabase" localSheetId="43" hidden="1">'0609 4度C'!$A$4:$AI$4</definedName>
    <definedName name="_xlnm._FilterDatabase" localSheetId="41" hidden="1">'0610 4度C'!$A$4:$AI$4</definedName>
    <definedName name="_xlnm._FilterDatabase" localSheetId="39" hidden="1">'0611 4度C'!$A$4:$AI$4</definedName>
    <definedName name="_xlnm._FilterDatabase" localSheetId="37" hidden="1">'0612 4度C'!$A$4:$AI$4</definedName>
    <definedName name="_xlnm._FilterDatabase" localSheetId="35" hidden="1">'0613 4度C'!$A$4:$AI$4</definedName>
    <definedName name="_xlnm._FilterDatabase" localSheetId="33" hidden="1">'0614 4度C'!$A$4:$AI$4</definedName>
    <definedName name="_xlnm._FilterDatabase" localSheetId="31" hidden="1">'0615 4度C'!$A$4:$AI$4</definedName>
    <definedName name="_xlnm._FilterDatabase" localSheetId="29" hidden="1">'0616 4度C'!$A$4:$AI$4</definedName>
    <definedName name="_xlnm._FilterDatabase" localSheetId="27" hidden="1">'0617 4度C'!$A$4:$AI$4</definedName>
    <definedName name="_xlnm._FilterDatabase" localSheetId="25" hidden="1">'0618 4度C'!$A$4:$AI$4</definedName>
    <definedName name="_xlnm._FilterDatabase" localSheetId="23" hidden="1">'0619 4度C'!$A$4:$AI$4</definedName>
    <definedName name="_xlnm._FilterDatabase" localSheetId="21" hidden="1">'0620 4度C'!$A$4:$AI$4</definedName>
    <definedName name="_xlnm._FilterDatabase" localSheetId="19" hidden="1">'0621 4度C'!$A$4:$AI$4</definedName>
    <definedName name="_xlnm._FilterDatabase" localSheetId="17" hidden="1">'0622 4度C'!$A$4:$AI$4</definedName>
    <definedName name="_xlnm._FilterDatabase" localSheetId="15" hidden="1">'0623 4度C'!$A$4:$AI$4</definedName>
    <definedName name="_xlnm._FilterDatabase" localSheetId="13" hidden="1">'0624 4度C'!$A$4:$AI$4</definedName>
    <definedName name="_xlnm._FilterDatabase" localSheetId="11" hidden="1">'0625 4度C'!$A$4:$AI$4</definedName>
    <definedName name="_xlnm._FilterDatabase" localSheetId="9" hidden="1">'0626 4度C'!$A$4:$AI$4</definedName>
    <definedName name="_xlnm._FilterDatabase" localSheetId="7" hidden="1">'0627 4度C'!$A$4:$AI$4</definedName>
    <definedName name="_xlnm._FilterDatabase" localSheetId="5" hidden="1">'0628 4度C'!$A$4:$AI$4</definedName>
    <definedName name="_xlnm._FilterDatabase" localSheetId="3" hidden="1">'0629 4度C'!$A$4:$AI$4</definedName>
    <definedName name="_xlnm._FilterDatabase" localSheetId="1" hidden="1">'0630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2" i="144" l="1"/>
  <c r="Z72" i="144"/>
  <c r="Y72" i="144"/>
  <c r="M18" i="143" s="1"/>
  <c r="O72" i="144"/>
  <c r="K72" i="144"/>
  <c r="AF71" i="144"/>
  <c r="V71" i="144"/>
  <c r="U71" i="144"/>
  <c r="O71" i="144"/>
  <c r="M71" i="144"/>
  <c r="AE71" i="144" s="1"/>
  <c r="K71" i="144"/>
  <c r="G71" i="144"/>
  <c r="AE70" i="144"/>
  <c r="V70" i="144"/>
  <c r="U70" i="144"/>
  <c r="O70" i="144"/>
  <c r="M70" i="144"/>
  <c r="N70" i="144" s="1"/>
  <c r="K70" i="144"/>
  <c r="G70" i="144"/>
  <c r="AF69" i="144"/>
  <c r="X69" i="144"/>
  <c r="W69" i="144"/>
  <c r="V69" i="144"/>
  <c r="U69" i="144"/>
  <c r="O69" i="144"/>
  <c r="M69" i="144"/>
  <c r="N69" i="144" s="1"/>
  <c r="K69" i="144"/>
  <c r="G69" i="144"/>
  <c r="AE68" i="144"/>
  <c r="V68" i="144"/>
  <c r="U68" i="144"/>
  <c r="O68" i="144"/>
  <c r="M68" i="144"/>
  <c r="N68" i="144" s="1"/>
  <c r="K68" i="144"/>
  <c r="G68" i="144"/>
  <c r="V67" i="144"/>
  <c r="M67" i="144" s="1"/>
  <c r="U67" i="144"/>
  <c r="O67" i="144"/>
  <c r="K67" i="144"/>
  <c r="G67" i="144"/>
  <c r="AF66" i="144"/>
  <c r="AE66" i="144"/>
  <c r="V66" i="144"/>
  <c r="U66" i="144"/>
  <c r="O66" i="144"/>
  <c r="M66" i="144"/>
  <c r="N66" i="144" s="1"/>
  <c r="K66" i="144"/>
  <c r="G66" i="144"/>
  <c r="AF65" i="144"/>
  <c r="AE65" i="144"/>
  <c r="X65" i="144"/>
  <c r="W65" i="144"/>
  <c r="V65" i="144"/>
  <c r="O65" i="144"/>
  <c r="M65" i="144"/>
  <c r="N65" i="144" s="1"/>
  <c r="K65" i="144"/>
  <c r="G65" i="144"/>
  <c r="AD64" i="144"/>
  <c r="Z64" i="144"/>
  <c r="Y64" i="144"/>
  <c r="O64" i="144"/>
  <c r="K64" i="144"/>
  <c r="AF63" i="144"/>
  <c r="AE63" i="144"/>
  <c r="V63" i="144"/>
  <c r="U63" i="144"/>
  <c r="O63" i="144"/>
  <c r="M63" i="144"/>
  <c r="N63" i="144" s="1"/>
  <c r="K63" i="144"/>
  <c r="G63" i="144"/>
  <c r="V62" i="144"/>
  <c r="M62" i="144" s="1"/>
  <c r="U62" i="144"/>
  <c r="O62" i="144"/>
  <c r="K62" i="144"/>
  <c r="G62" i="144"/>
  <c r="V61" i="144"/>
  <c r="M61" i="144" s="1"/>
  <c r="U61" i="144"/>
  <c r="O61" i="144"/>
  <c r="K61" i="144"/>
  <c r="G61" i="144"/>
  <c r="V60" i="144"/>
  <c r="M60" i="144" s="1"/>
  <c r="O60" i="144"/>
  <c r="K60" i="144"/>
  <c r="G60" i="144"/>
  <c r="AD59" i="144"/>
  <c r="I21" i="143" s="1"/>
  <c r="Z59" i="144"/>
  <c r="Y59" i="144"/>
  <c r="I18" i="143" s="1"/>
  <c r="O59" i="144"/>
  <c r="K59" i="144"/>
  <c r="V58" i="144"/>
  <c r="M58" i="144" s="1"/>
  <c r="U58" i="144"/>
  <c r="O58" i="144"/>
  <c r="K58" i="144"/>
  <c r="G58" i="144"/>
  <c r="V57" i="144"/>
  <c r="U57" i="144"/>
  <c r="O57" i="144"/>
  <c r="M57" i="144"/>
  <c r="AF57" i="144" s="1"/>
  <c r="K57" i="144"/>
  <c r="G57" i="144"/>
  <c r="V56" i="144"/>
  <c r="M56" i="144" s="1"/>
  <c r="U56" i="144"/>
  <c r="O56" i="144"/>
  <c r="K56" i="144"/>
  <c r="G56" i="144"/>
  <c r="V55" i="144"/>
  <c r="U55" i="144"/>
  <c r="O55" i="144"/>
  <c r="M55" i="144"/>
  <c r="AF55" i="144" s="1"/>
  <c r="K55" i="144"/>
  <c r="G55" i="144"/>
  <c r="V54" i="144"/>
  <c r="U54" i="144"/>
  <c r="O54" i="144"/>
  <c r="N54" i="144"/>
  <c r="Q54" i="144" s="1"/>
  <c r="M54" i="144"/>
  <c r="AF54" i="144" s="1"/>
  <c r="K54" i="144"/>
  <c r="G54" i="144"/>
  <c r="V53" i="144"/>
  <c r="U53" i="144"/>
  <c r="O53" i="144"/>
  <c r="M53" i="144"/>
  <c r="AE53" i="144" s="1"/>
  <c r="K53" i="144"/>
  <c r="G53" i="144"/>
  <c r="X52" i="144"/>
  <c r="W52" i="144"/>
  <c r="V52" i="144"/>
  <c r="O52" i="144"/>
  <c r="M52" i="144"/>
  <c r="AE52" i="144" s="1"/>
  <c r="K52" i="144"/>
  <c r="G52" i="144"/>
  <c r="AD51" i="144"/>
  <c r="Z51" i="144"/>
  <c r="Y51" i="144"/>
  <c r="O51" i="144"/>
  <c r="K51" i="144"/>
  <c r="V50" i="144"/>
  <c r="U50" i="144"/>
  <c r="O50" i="144"/>
  <c r="M50" i="144"/>
  <c r="AE50" i="144" s="1"/>
  <c r="K50" i="144"/>
  <c r="G50" i="144"/>
  <c r="AE49" i="144"/>
  <c r="V49" i="144"/>
  <c r="U49" i="144"/>
  <c r="O49" i="144"/>
  <c r="M49" i="144"/>
  <c r="N49" i="144" s="1"/>
  <c r="K49" i="144"/>
  <c r="G49" i="144"/>
  <c r="AE48" i="144"/>
  <c r="V48" i="144"/>
  <c r="O48" i="144"/>
  <c r="M48" i="144"/>
  <c r="N48" i="144" s="1"/>
  <c r="K48" i="144"/>
  <c r="G48" i="144"/>
  <c r="AD47" i="144"/>
  <c r="Z47" i="144"/>
  <c r="Y47" i="144"/>
  <c r="O47" i="144"/>
  <c r="K47" i="144"/>
  <c r="AE46" i="144"/>
  <c r="V46" i="144"/>
  <c r="U46" i="144"/>
  <c r="O46" i="144"/>
  <c r="M46" i="144"/>
  <c r="N46" i="144" s="1"/>
  <c r="K46" i="144"/>
  <c r="G46" i="144"/>
  <c r="V45" i="144"/>
  <c r="M45" i="144" s="1"/>
  <c r="U45" i="144"/>
  <c r="O45" i="144"/>
  <c r="K45" i="144"/>
  <c r="G45" i="144"/>
  <c r="AE44" i="144"/>
  <c r="X44" i="144"/>
  <c r="W44" i="144"/>
  <c r="V44" i="144"/>
  <c r="U44" i="144"/>
  <c r="O44" i="144"/>
  <c r="M44" i="144"/>
  <c r="N44" i="144" s="1"/>
  <c r="K44" i="144"/>
  <c r="G44" i="144"/>
  <c r="V43" i="144"/>
  <c r="M43" i="144" s="1"/>
  <c r="U43" i="144"/>
  <c r="O43" i="144"/>
  <c r="K43" i="144"/>
  <c r="G43" i="144"/>
  <c r="V42" i="144"/>
  <c r="M42" i="144" s="1"/>
  <c r="U42" i="144"/>
  <c r="O42" i="144"/>
  <c r="K42" i="144"/>
  <c r="G42" i="144"/>
  <c r="V41" i="144"/>
  <c r="M41" i="144" s="1"/>
  <c r="U41" i="144"/>
  <c r="O41" i="144"/>
  <c r="K41" i="144"/>
  <c r="G41" i="144"/>
  <c r="X40" i="144"/>
  <c r="W40" i="144"/>
  <c r="V40" i="144"/>
  <c r="M40" i="144" s="1"/>
  <c r="O40" i="144"/>
  <c r="K40" i="144"/>
  <c r="G40" i="144"/>
  <c r="AD39" i="144"/>
  <c r="K21" i="143" s="1"/>
  <c r="Z39" i="144"/>
  <c r="K19" i="143" s="1"/>
  <c r="Y39" i="144"/>
  <c r="O39" i="144"/>
  <c r="K39" i="144"/>
  <c r="V38" i="144"/>
  <c r="M38" i="144" s="1"/>
  <c r="U38" i="144"/>
  <c r="O38" i="144"/>
  <c r="K38" i="144"/>
  <c r="G38" i="144"/>
  <c r="V37" i="144"/>
  <c r="M37" i="144" s="1"/>
  <c r="U37" i="144"/>
  <c r="O37" i="144"/>
  <c r="K37" i="144"/>
  <c r="G37" i="144"/>
  <c r="V36" i="144"/>
  <c r="U36" i="144"/>
  <c r="O36" i="144"/>
  <c r="M36" i="144"/>
  <c r="AF36" i="144" s="1"/>
  <c r="K36" i="144"/>
  <c r="G36" i="144"/>
  <c r="X35" i="144"/>
  <c r="W35" i="144"/>
  <c r="V35" i="144"/>
  <c r="M35" i="144" s="1"/>
  <c r="U35" i="144"/>
  <c r="O35" i="144"/>
  <c r="K35" i="144"/>
  <c r="G35" i="144"/>
  <c r="V34" i="144"/>
  <c r="U34" i="144"/>
  <c r="O34" i="144"/>
  <c r="M34" i="144"/>
  <c r="AF34" i="144" s="1"/>
  <c r="K34" i="144"/>
  <c r="G34" i="144"/>
  <c r="V33" i="144"/>
  <c r="M33" i="144" s="1"/>
  <c r="U33" i="144"/>
  <c r="O33" i="144"/>
  <c r="K33" i="144"/>
  <c r="G33" i="144"/>
  <c r="V32" i="144"/>
  <c r="U32" i="144"/>
  <c r="O32" i="144"/>
  <c r="M32" i="144"/>
  <c r="AF32" i="144" s="1"/>
  <c r="K32" i="144"/>
  <c r="G32" i="144"/>
  <c r="X31" i="144"/>
  <c r="W31" i="144"/>
  <c r="V31" i="144"/>
  <c r="O31" i="144"/>
  <c r="M31" i="144"/>
  <c r="AF31" i="144" s="1"/>
  <c r="K31" i="144"/>
  <c r="G31" i="144"/>
  <c r="AD30" i="144"/>
  <c r="G21" i="143" s="1"/>
  <c r="Z30" i="144"/>
  <c r="Y30" i="144"/>
  <c r="O30" i="144"/>
  <c r="K30" i="144"/>
  <c r="V29" i="144"/>
  <c r="U29" i="144"/>
  <c r="O29" i="144"/>
  <c r="M29" i="144"/>
  <c r="AF29" i="144" s="1"/>
  <c r="K29" i="144"/>
  <c r="G29" i="144"/>
  <c r="V28" i="144"/>
  <c r="U28" i="144"/>
  <c r="O28" i="144"/>
  <c r="N28" i="144"/>
  <c r="Q28" i="144" s="1"/>
  <c r="M28" i="144"/>
  <c r="AF28" i="144" s="1"/>
  <c r="K28" i="144"/>
  <c r="G28" i="144"/>
  <c r="V27" i="144"/>
  <c r="U27" i="144"/>
  <c r="O27" i="144"/>
  <c r="M27" i="144"/>
  <c r="AE27" i="144" s="1"/>
  <c r="K27" i="144"/>
  <c r="G27" i="144"/>
  <c r="AE26" i="144"/>
  <c r="V26" i="144"/>
  <c r="U26" i="144"/>
  <c r="O26" i="144"/>
  <c r="M26" i="144"/>
  <c r="N26" i="144" s="1"/>
  <c r="K26" i="144"/>
  <c r="G26" i="144"/>
  <c r="V25" i="144"/>
  <c r="M25" i="144" s="1"/>
  <c r="U25" i="144"/>
  <c r="O25" i="144"/>
  <c r="K25" i="144"/>
  <c r="G25" i="144"/>
  <c r="V24" i="144"/>
  <c r="M24" i="144" s="1"/>
  <c r="O24" i="144"/>
  <c r="K24" i="144"/>
  <c r="G24" i="144"/>
  <c r="F1" i="144" s="1"/>
  <c r="AD23" i="144"/>
  <c r="Z23" i="144"/>
  <c r="Y23" i="144"/>
  <c r="O23" i="144"/>
  <c r="K23" i="144"/>
  <c r="V22" i="144"/>
  <c r="M22" i="144" s="1"/>
  <c r="U22" i="144"/>
  <c r="O22" i="144"/>
  <c r="K22" i="144"/>
  <c r="G22" i="144"/>
  <c r="V21" i="144"/>
  <c r="M21" i="144" s="1"/>
  <c r="U21" i="144"/>
  <c r="O21" i="144"/>
  <c r="K21" i="144"/>
  <c r="G21" i="144"/>
  <c r="V20" i="144"/>
  <c r="M20" i="144" s="1"/>
  <c r="U20" i="144"/>
  <c r="O20" i="144"/>
  <c r="K20" i="144"/>
  <c r="G20" i="144"/>
  <c r="V19" i="144"/>
  <c r="M19" i="144" s="1"/>
  <c r="U19" i="144"/>
  <c r="O19" i="144"/>
  <c r="K19" i="144"/>
  <c r="G19" i="144"/>
  <c r="V18" i="144"/>
  <c r="U18" i="144"/>
  <c r="O18" i="144"/>
  <c r="M18" i="144"/>
  <c r="AF18" i="144" s="1"/>
  <c r="K18" i="144"/>
  <c r="G18" i="144"/>
  <c r="V17" i="144"/>
  <c r="M17" i="144" s="1"/>
  <c r="U17" i="144"/>
  <c r="O17" i="144"/>
  <c r="K17" i="144"/>
  <c r="G17" i="144"/>
  <c r="X16" i="144"/>
  <c r="W16" i="144"/>
  <c r="V16" i="144"/>
  <c r="M16" i="144" s="1"/>
  <c r="O16" i="144"/>
  <c r="K16" i="144"/>
  <c r="G16" i="144"/>
  <c r="AD15" i="144"/>
  <c r="Z15" i="144"/>
  <c r="Y15" i="144"/>
  <c r="E18" i="143" s="1"/>
  <c r="O15" i="144"/>
  <c r="K15" i="144"/>
  <c r="V14" i="144"/>
  <c r="M14" i="144" s="1"/>
  <c r="U14" i="144"/>
  <c r="O14" i="144"/>
  <c r="K14" i="144"/>
  <c r="G14" i="144"/>
  <c r="V13" i="144"/>
  <c r="U13" i="144"/>
  <c r="O13" i="144"/>
  <c r="M13" i="144"/>
  <c r="AF13" i="144" s="1"/>
  <c r="K13" i="144"/>
  <c r="G13" i="144"/>
  <c r="X12" i="144"/>
  <c r="W12" i="144"/>
  <c r="V12" i="144"/>
  <c r="M12" i="144" s="1"/>
  <c r="U12" i="144"/>
  <c r="O12" i="144"/>
  <c r="K12" i="144"/>
  <c r="G12" i="144"/>
  <c r="V11" i="144"/>
  <c r="U11" i="144"/>
  <c r="O11" i="144"/>
  <c r="M11" i="144"/>
  <c r="AF11" i="144" s="1"/>
  <c r="K11" i="144"/>
  <c r="G11" i="144"/>
  <c r="X10" i="144"/>
  <c r="W10" i="144"/>
  <c r="V10" i="144"/>
  <c r="O10" i="144"/>
  <c r="M10" i="144"/>
  <c r="K10" i="144"/>
  <c r="G10" i="144"/>
  <c r="AD9" i="144"/>
  <c r="AD2" i="144" s="1"/>
  <c r="N6" i="143" s="1"/>
  <c r="Z9" i="144"/>
  <c r="Z2" i="144" s="1"/>
  <c r="L6" i="143" s="1"/>
  <c r="Y9" i="144"/>
  <c r="Y2" i="144" s="1"/>
  <c r="K6" i="143" s="1"/>
  <c r="O9" i="144"/>
  <c r="K9" i="144"/>
  <c r="V8" i="144"/>
  <c r="U8" i="144"/>
  <c r="O8" i="144"/>
  <c r="M8" i="144"/>
  <c r="AF8" i="144" s="1"/>
  <c r="K8" i="144"/>
  <c r="G8" i="144"/>
  <c r="X7" i="144"/>
  <c r="W7" i="144"/>
  <c r="V7" i="144"/>
  <c r="M7" i="144" s="1"/>
  <c r="U7" i="144"/>
  <c r="O7" i="144"/>
  <c r="K7" i="144"/>
  <c r="G7" i="144"/>
  <c r="V6" i="144"/>
  <c r="U6" i="144"/>
  <c r="O6" i="144"/>
  <c r="M6" i="144"/>
  <c r="AF6" i="144" s="1"/>
  <c r="K6" i="144"/>
  <c r="G6" i="144"/>
  <c r="V5" i="144"/>
  <c r="O5" i="144"/>
  <c r="M5" i="144"/>
  <c r="AF5" i="144" s="1"/>
  <c r="K5" i="144"/>
  <c r="G5" i="144"/>
  <c r="AC2" i="144"/>
  <c r="H2" i="144"/>
  <c r="H1" i="144"/>
  <c r="D1" i="144"/>
  <c r="M22" i="143"/>
  <c r="L22" i="143"/>
  <c r="K22" i="143"/>
  <c r="J22" i="143"/>
  <c r="I22" i="143"/>
  <c r="H22" i="143"/>
  <c r="G22" i="143"/>
  <c r="F22" i="143"/>
  <c r="E22" i="143"/>
  <c r="D22" i="143"/>
  <c r="M21" i="143"/>
  <c r="L21" i="143"/>
  <c r="J21" i="143"/>
  <c r="H21" i="143"/>
  <c r="F21" i="143"/>
  <c r="E21" i="143"/>
  <c r="M20" i="143"/>
  <c r="L20" i="143"/>
  <c r="K20" i="143"/>
  <c r="J20" i="143"/>
  <c r="I20" i="143"/>
  <c r="H20" i="143"/>
  <c r="G20" i="143"/>
  <c r="F20" i="143"/>
  <c r="E20" i="143"/>
  <c r="D20" i="143"/>
  <c r="M19" i="143"/>
  <c r="L19" i="143"/>
  <c r="J19" i="143"/>
  <c r="I19" i="143"/>
  <c r="H19" i="143"/>
  <c r="G19" i="143"/>
  <c r="F19" i="143"/>
  <c r="E19" i="143"/>
  <c r="D19" i="143"/>
  <c r="L18" i="143"/>
  <c r="K18" i="143"/>
  <c r="J18" i="143"/>
  <c r="H18" i="143"/>
  <c r="G18" i="143"/>
  <c r="F18" i="143"/>
  <c r="D18" i="143"/>
  <c r="M17" i="143"/>
  <c r="L17" i="143"/>
  <c r="K17" i="143"/>
  <c r="J17" i="143"/>
  <c r="I17" i="143"/>
  <c r="H17" i="143"/>
  <c r="G17" i="143"/>
  <c r="F17" i="143"/>
  <c r="E17" i="143"/>
  <c r="D17" i="143"/>
  <c r="M16" i="143"/>
  <c r="L16" i="143"/>
  <c r="K16" i="143"/>
  <c r="J16" i="143"/>
  <c r="I16" i="143"/>
  <c r="H16" i="143"/>
  <c r="G16" i="143"/>
  <c r="F16" i="143"/>
  <c r="E16" i="143"/>
  <c r="D16" i="143"/>
  <c r="M13" i="143"/>
  <c r="L13" i="143"/>
  <c r="K13" i="143"/>
  <c r="I6" i="143" s="1"/>
  <c r="J13" i="143"/>
  <c r="I13" i="143"/>
  <c r="H13" i="143"/>
  <c r="G6" i="143" s="1"/>
  <c r="G13" i="143"/>
  <c r="F13" i="143"/>
  <c r="E13" i="143"/>
  <c r="D13" i="143"/>
  <c r="M6" i="143"/>
  <c r="F3" i="143"/>
  <c r="C3" i="143"/>
  <c r="N42" i="144" l="1"/>
  <c r="AF42" i="144"/>
  <c r="AE42" i="144"/>
  <c r="AF14" i="144"/>
  <c r="AE14" i="144"/>
  <c r="N14" i="144"/>
  <c r="N41" i="144"/>
  <c r="AF41" i="144"/>
  <c r="AE41" i="144"/>
  <c r="N45" i="144"/>
  <c r="AF45" i="144"/>
  <c r="AE45" i="144"/>
  <c r="N67" i="144"/>
  <c r="M72" i="144"/>
  <c r="AF67" i="144"/>
  <c r="AE67" i="144"/>
  <c r="AF19" i="144"/>
  <c r="AE19" i="144"/>
  <c r="N19" i="144"/>
  <c r="N24" i="144"/>
  <c r="AF24" i="144"/>
  <c r="AE24" i="144"/>
  <c r="M30" i="144"/>
  <c r="Q44" i="144"/>
  <c r="P44" i="144"/>
  <c r="N62" i="144"/>
  <c r="AF62" i="144"/>
  <c r="AE62" i="144"/>
  <c r="Q68" i="144"/>
  <c r="P68" i="144"/>
  <c r="N22" i="144"/>
  <c r="AF22" i="144"/>
  <c r="AE22" i="144"/>
  <c r="M15" i="144"/>
  <c r="N20" i="144"/>
  <c r="AF20" i="144"/>
  <c r="AE20" i="144"/>
  <c r="N25" i="144"/>
  <c r="AF25" i="144"/>
  <c r="AE25" i="144"/>
  <c r="AF35" i="144"/>
  <c r="AE35" i="144"/>
  <c r="N35" i="144"/>
  <c r="Q66" i="144"/>
  <c r="P66" i="144"/>
  <c r="AF16" i="144"/>
  <c r="AE16" i="144"/>
  <c r="M23" i="144"/>
  <c r="N16" i="144"/>
  <c r="AF33" i="144"/>
  <c r="AE33" i="144"/>
  <c r="N33" i="144"/>
  <c r="AF37" i="144"/>
  <c r="AE37" i="144"/>
  <c r="N37" i="144"/>
  <c r="Q46" i="144"/>
  <c r="P46" i="144"/>
  <c r="Q48" i="144"/>
  <c r="P48" i="144"/>
  <c r="N60" i="144"/>
  <c r="M64" i="144"/>
  <c r="AF60" i="144"/>
  <c r="AE60" i="144"/>
  <c r="Q63" i="144"/>
  <c r="P63" i="144"/>
  <c r="Q65" i="144"/>
  <c r="P65" i="144"/>
  <c r="AF58" i="144"/>
  <c r="AE58" i="144"/>
  <c r="N58" i="144"/>
  <c r="Q70" i="144"/>
  <c r="P70" i="144"/>
  <c r="AF12" i="144"/>
  <c r="AE12" i="144"/>
  <c r="N12" i="144"/>
  <c r="Q26" i="144"/>
  <c r="P26" i="144"/>
  <c r="N40" i="144"/>
  <c r="AF40" i="144"/>
  <c r="M47" i="144"/>
  <c r="AE40" i="144"/>
  <c r="F2" i="144"/>
  <c r="I3" i="143"/>
  <c r="N21" i="144"/>
  <c r="AF21" i="144"/>
  <c r="AE21" i="144"/>
  <c r="AF56" i="144"/>
  <c r="AE56" i="144"/>
  <c r="N56" i="144"/>
  <c r="N38" i="144"/>
  <c r="AF38" i="144"/>
  <c r="AE38" i="144"/>
  <c r="N61" i="144"/>
  <c r="AF61" i="144"/>
  <c r="AE61" i="144"/>
  <c r="Q49" i="144"/>
  <c r="P49" i="144"/>
  <c r="AF7" i="144"/>
  <c r="AE7" i="144"/>
  <c r="N7" i="144"/>
  <c r="AF17" i="144"/>
  <c r="AE17" i="144"/>
  <c r="N17" i="144"/>
  <c r="N43" i="144"/>
  <c r="AF43" i="144"/>
  <c r="AE43" i="144"/>
  <c r="Q69" i="144"/>
  <c r="P69" i="144"/>
  <c r="F6" i="143"/>
  <c r="M9" i="144"/>
  <c r="AF27" i="144"/>
  <c r="AF50" i="144"/>
  <c r="AF52" i="144"/>
  <c r="AF53" i="144"/>
  <c r="E6" i="143"/>
  <c r="N10" i="144"/>
  <c r="N18" i="144"/>
  <c r="AF26" i="144"/>
  <c r="N31" i="144"/>
  <c r="N34" i="144"/>
  <c r="N36" i="144"/>
  <c r="AF48" i="144"/>
  <c r="AF49" i="144"/>
  <c r="N57" i="144"/>
  <c r="AF68" i="144"/>
  <c r="AE69" i="144"/>
  <c r="AF70" i="144"/>
  <c r="M51" i="144"/>
  <c r="N5" i="144"/>
  <c r="N6" i="144"/>
  <c r="N8" i="144"/>
  <c r="N11" i="144"/>
  <c r="N13" i="144"/>
  <c r="N29" i="144"/>
  <c r="N32" i="144"/>
  <c r="AF46" i="144"/>
  <c r="N52" i="144"/>
  <c r="N55" i="144"/>
  <c r="N27" i="144"/>
  <c r="AF44" i="144"/>
  <c r="N50" i="144"/>
  <c r="N53" i="144"/>
  <c r="N71" i="144"/>
  <c r="D21" i="143"/>
  <c r="P28" i="144"/>
  <c r="P54" i="144"/>
  <c r="AE18" i="144"/>
  <c r="AE34" i="144"/>
  <c r="AE36" i="144"/>
  <c r="AE57" i="144"/>
  <c r="M39" i="144"/>
  <c r="AE5" i="144"/>
  <c r="AE6" i="144"/>
  <c r="AE8" i="144"/>
  <c r="AE10" i="144"/>
  <c r="AE11" i="144"/>
  <c r="AE13" i="144"/>
  <c r="AE29" i="144"/>
  <c r="AE31" i="144"/>
  <c r="AE32" i="144"/>
  <c r="AE55" i="144"/>
  <c r="M59" i="144"/>
  <c r="AF10" i="144"/>
  <c r="AE28" i="144"/>
  <c r="AE54" i="144"/>
  <c r="AD72" i="142"/>
  <c r="Z72" i="142"/>
  <c r="Y72" i="142"/>
  <c r="O72" i="142"/>
  <c r="K72" i="142"/>
  <c r="V71" i="142"/>
  <c r="U71" i="142"/>
  <c r="O71" i="142"/>
  <c r="M71" i="142"/>
  <c r="M72" i="142" s="1"/>
  <c r="K71" i="142"/>
  <c r="G71" i="142"/>
  <c r="AF70" i="142"/>
  <c r="AE70" i="142"/>
  <c r="V70" i="142"/>
  <c r="U70" i="142"/>
  <c r="O70" i="142"/>
  <c r="N70" i="142"/>
  <c r="Q70" i="142" s="1"/>
  <c r="M70" i="142"/>
  <c r="K70" i="142"/>
  <c r="G70" i="142"/>
  <c r="AF69" i="142"/>
  <c r="AE69" i="142"/>
  <c r="X69" i="142"/>
  <c r="W69" i="142"/>
  <c r="V69" i="142"/>
  <c r="U69" i="142"/>
  <c r="O69" i="142"/>
  <c r="M69" i="142"/>
  <c r="N69" i="142" s="1"/>
  <c r="K69" i="142"/>
  <c r="G69" i="142"/>
  <c r="AF68" i="142"/>
  <c r="AE68" i="142"/>
  <c r="V68" i="142"/>
  <c r="U68" i="142"/>
  <c r="O68" i="142"/>
  <c r="N68" i="142"/>
  <c r="Q68" i="142" s="1"/>
  <c r="M68" i="142"/>
  <c r="K68" i="142"/>
  <c r="G68" i="142"/>
  <c r="AF67" i="142"/>
  <c r="AE67" i="142"/>
  <c r="V67" i="142"/>
  <c r="U67" i="142"/>
  <c r="O67" i="142"/>
  <c r="M67" i="142"/>
  <c r="N67" i="142" s="1"/>
  <c r="K67" i="142"/>
  <c r="G67" i="142"/>
  <c r="AF66" i="142"/>
  <c r="AE66" i="142"/>
  <c r="V66" i="142"/>
  <c r="U66" i="142"/>
  <c r="O66" i="142"/>
  <c r="N66" i="142"/>
  <c r="Q66" i="142" s="1"/>
  <c r="M66" i="142"/>
  <c r="K66" i="142"/>
  <c r="G66" i="142"/>
  <c r="AF65" i="142"/>
  <c r="AE65" i="142"/>
  <c r="X65" i="142"/>
  <c r="W65" i="142"/>
  <c r="V65" i="142"/>
  <c r="O65" i="142"/>
  <c r="N65" i="142"/>
  <c r="Q65" i="142" s="1"/>
  <c r="M65" i="142"/>
  <c r="K65" i="142"/>
  <c r="G65" i="142"/>
  <c r="AD64" i="142"/>
  <c r="Z64" i="142"/>
  <c r="Y64" i="142"/>
  <c r="O64" i="142"/>
  <c r="K64" i="142"/>
  <c r="AF63" i="142"/>
  <c r="AE63" i="142"/>
  <c r="V63" i="142"/>
  <c r="U63" i="142"/>
  <c r="O63" i="142"/>
  <c r="N63" i="142"/>
  <c r="P63" i="142" s="1"/>
  <c r="M63" i="142"/>
  <c r="K63" i="142"/>
  <c r="G63" i="142"/>
  <c r="AF62" i="142"/>
  <c r="AE62" i="142"/>
  <c r="V62" i="142"/>
  <c r="U62" i="142"/>
  <c r="O62" i="142"/>
  <c r="M62" i="142"/>
  <c r="M64" i="142" s="1"/>
  <c r="K62" i="142"/>
  <c r="G62" i="142"/>
  <c r="AF61" i="142"/>
  <c r="AE61" i="142"/>
  <c r="V61" i="142"/>
  <c r="U61" i="142"/>
  <c r="O61" i="142"/>
  <c r="N61" i="142"/>
  <c r="Q61" i="142" s="1"/>
  <c r="M61" i="142"/>
  <c r="K61" i="142"/>
  <c r="G61" i="142"/>
  <c r="AF60" i="142"/>
  <c r="AE60" i="142"/>
  <c r="V60" i="142"/>
  <c r="O60" i="142"/>
  <c r="N60" i="142"/>
  <c r="Q60" i="142" s="1"/>
  <c r="M60" i="142"/>
  <c r="K60" i="142"/>
  <c r="G60" i="142"/>
  <c r="AD59" i="142"/>
  <c r="Z59" i="142"/>
  <c r="Y59" i="142"/>
  <c r="O59" i="142"/>
  <c r="K59" i="142"/>
  <c r="AF58" i="142"/>
  <c r="AE58" i="142"/>
  <c r="V58" i="142"/>
  <c r="U58" i="142"/>
  <c r="O58" i="142"/>
  <c r="N58" i="142"/>
  <c r="Q58" i="142" s="1"/>
  <c r="M58" i="142"/>
  <c r="K58" i="142"/>
  <c r="G58" i="142"/>
  <c r="V57" i="142"/>
  <c r="U57" i="142"/>
  <c r="O57" i="142"/>
  <c r="M57" i="142"/>
  <c r="AE57" i="142" s="1"/>
  <c r="K57" i="142"/>
  <c r="G57" i="142"/>
  <c r="AF56" i="142"/>
  <c r="AE56" i="142"/>
  <c r="V56" i="142"/>
  <c r="U56" i="142"/>
  <c r="O56" i="142"/>
  <c r="N56" i="142"/>
  <c r="Q56" i="142" s="1"/>
  <c r="M56" i="142"/>
  <c r="K56" i="142"/>
  <c r="G56" i="142"/>
  <c r="AF55" i="142"/>
  <c r="AE55" i="142"/>
  <c r="V55" i="142"/>
  <c r="U55" i="142"/>
  <c r="O55" i="142"/>
  <c r="M55" i="142"/>
  <c r="N55" i="142" s="1"/>
  <c r="K55" i="142"/>
  <c r="G55" i="142"/>
  <c r="AF54" i="142"/>
  <c r="AE54" i="142"/>
  <c r="V54" i="142"/>
  <c r="U54" i="142"/>
  <c r="O54" i="142"/>
  <c r="N54" i="142"/>
  <c r="P54" i="142" s="1"/>
  <c r="M54" i="142"/>
  <c r="K54" i="142"/>
  <c r="G54" i="142"/>
  <c r="AF53" i="142"/>
  <c r="AE53" i="142"/>
  <c r="V53" i="142"/>
  <c r="U53" i="142"/>
  <c r="O53" i="142"/>
  <c r="M53" i="142"/>
  <c r="N53" i="142" s="1"/>
  <c r="K53" i="142"/>
  <c r="G53" i="142"/>
  <c r="X52" i="142"/>
  <c r="W52" i="142"/>
  <c r="V52" i="142"/>
  <c r="O52" i="142"/>
  <c r="M52" i="142"/>
  <c r="AF52" i="142" s="1"/>
  <c r="K52" i="142"/>
  <c r="G52" i="142"/>
  <c r="AD51" i="142"/>
  <c r="Z51" i="142"/>
  <c r="Y51" i="142"/>
  <c r="O51" i="142"/>
  <c r="K51" i="142"/>
  <c r="V50" i="142"/>
  <c r="U50" i="142"/>
  <c r="O50" i="142"/>
  <c r="M50" i="142"/>
  <c r="M51" i="142" s="1"/>
  <c r="K50" i="142"/>
  <c r="G50" i="142"/>
  <c r="AF49" i="142"/>
  <c r="AE49" i="142"/>
  <c r="V49" i="142"/>
  <c r="U49" i="142"/>
  <c r="O49" i="142"/>
  <c r="N49" i="142"/>
  <c r="Q49" i="142" s="1"/>
  <c r="M49" i="142"/>
  <c r="K49" i="142"/>
  <c r="G49" i="142"/>
  <c r="AF48" i="142"/>
  <c r="AE48" i="142"/>
  <c r="V48" i="142"/>
  <c r="Q48" i="142"/>
  <c r="P48" i="142"/>
  <c r="O48" i="142"/>
  <c r="N48" i="142"/>
  <c r="M48" i="142"/>
  <c r="K48" i="142"/>
  <c r="G48" i="142"/>
  <c r="AD47" i="142"/>
  <c r="Z47" i="142"/>
  <c r="Y47" i="142"/>
  <c r="O47" i="142"/>
  <c r="K47" i="142"/>
  <c r="AF46" i="142"/>
  <c r="AE46" i="142"/>
  <c r="V46" i="142"/>
  <c r="U46" i="142"/>
  <c r="O46" i="142"/>
  <c r="M46" i="142"/>
  <c r="N46" i="142" s="1"/>
  <c r="K46" i="142"/>
  <c r="G46" i="142"/>
  <c r="AF45" i="142"/>
  <c r="AE45" i="142"/>
  <c r="V45" i="142"/>
  <c r="U45" i="142"/>
  <c r="O45" i="142"/>
  <c r="N45" i="142"/>
  <c r="P45" i="142" s="1"/>
  <c r="M45" i="142"/>
  <c r="K45" i="142"/>
  <c r="G45" i="142"/>
  <c r="AF44" i="142"/>
  <c r="AE44" i="142"/>
  <c r="X44" i="142"/>
  <c r="W44" i="142"/>
  <c r="V44" i="142"/>
  <c r="U44" i="142"/>
  <c r="O44" i="142"/>
  <c r="N44" i="142"/>
  <c r="Q44" i="142" s="1"/>
  <c r="M44" i="142"/>
  <c r="K44" i="142"/>
  <c r="G44" i="142"/>
  <c r="V43" i="142"/>
  <c r="U43" i="142"/>
  <c r="O43" i="142"/>
  <c r="M43" i="142"/>
  <c r="M47" i="142" s="1"/>
  <c r="K43" i="142"/>
  <c r="G43" i="142"/>
  <c r="AF42" i="142"/>
  <c r="AE42" i="142"/>
  <c r="V42" i="142"/>
  <c r="U42" i="142"/>
  <c r="O42" i="142"/>
  <c r="N42" i="142"/>
  <c r="Q42" i="142" s="1"/>
  <c r="M42" i="142"/>
  <c r="K42" i="142"/>
  <c r="G42" i="142"/>
  <c r="AF41" i="142"/>
  <c r="AE41" i="142"/>
  <c r="V41" i="142"/>
  <c r="U41" i="142"/>
  <c r="O41" i="142"/>
  <c r="M41" i="142"/>
  <c r="N41" i="142" s="1"/>
  <c r="K41" i="142"/>
  <c r="G41" i="142"/>
  <c r="AF40" i="142"/>
  <c r="AE40" i="142"/>
  <c r="X40" i="142"/>
  <c r="W40" i="142"/>
  <c r="V40" i="142"/>
  <c r="O40" i="142"/>
  <c r="N40" i="142"/>
  <c r="P40" i="142" s="1"/>
  <c r="M40" i="142"/>
  <c r="K40" i="142"/>
  <c r="G40" i="142"/>
  <c r="AD39" i="142"/>
  <c r="Z39" i="142"/>
  <c r="Y39" i="142"/>
  <c r="O39" i="142"/>
  <c r="K39" i="142"/>
  <c r="V38" i="142"/>
  <c r="U38" i="142"/>
  <c r="O38" i="142"/>
  <c r="M38" i="142"/>
  <c r="N38" i="142" s="1"/>
  <c r="K38" i="142"/>
  <c r="G38" i="142"/>
  <c r="AF37" i="142"/>
  <c r="AE37" i="142"/>
  <c r="V37" i="142"/>
  <c r="U37" i="142"/>
  <c r="O37" i="142"/>
  <c r="N37" i="142"/>
  <c r="Q37" i="142" s="1"/>
  <c r="M37" i="142"/>
  <c r="K37" i="142"/>
  <c r="G37" i="142"/>
  <c r="V36" i="142"/>
  <c r="U36" i="142"/>
  <c r="O36" i="142"/>
  <c r="M36" i="142"/>
  <c r="AE36" i="142" s="1"/>
  <c r="K36" i="142"/>
  <c r="G36" i="142"/>
  <c r="AF35" i="142"/>
  <c r="AE35" i="142"/>
  <c r="X35" i="142"/>
  <c r="W35" i="142"/>
  <c r="V35" i="142"/>
  <c r="U35" i="142"/>
  <c r="O35" i="142"/>
  <c r="N35" i="142"/>
  <c r="P35" i="142" s="1"/>
  <c r="M35" i="142"/>
  <c r="K35" i="142"/>
  <c r="G35" i="142"/>
  <c r="AF34" i="142"/>
  <c r="AE34" i="142"/>
  <c r="V34" i="142"/>
  <c r="U34" i="142"/>
  <c r="O34" i="142"/>
  <c r="M34" i="142"/>
  <c r="N34" i="142" s="1"/>
  <c r="K34" i="142"/>
  <c r="G34" i="142"/>
  <c r="AF33" i="142"/>
  <c r="AE33" i="142"/>
  <c r="V33" i="142"/>
  <c r="U33" i="142"/>
  <c r="O33" i="142"/>
  <c r="N33" i="142"/>
  <c r="Q33" i="142" s="1"/>
  <c r="M33" i="142"/>
  <c r="K33" i="142"/>
  <c r="G33" i="142"/>
  <c r="AF32" i="142"/>
  <c r="AE32" i="142"/>
  <c r="V32" i="142"/>
  <c r="U32" i="142"/>
  <c r="O32" i="142"/>
  <c r="M32" i="142"/>
  <c r="N32" i="142" s="1"/>
  <c r="K32" i="142"/>
  <c r="G32" i="142"/>
  <c r="X31" i="142"/>
  <c r="W31" i="142"/>
  <c r="V31" i="142"/>
  <c r="O31" i="142"/>
  <c r="M31" i="142"/>
  <c r="AF31" i="142" s="1"/>
  <c r="K31" i="142"/>
  <c r="G31" i="142"/>
  <c r="AD30" i="142"/>
  <c r="Z30" i="142"/>
  <c r="Y30" i="142"/>
  <c r="O30" i="142"/>
  <c r="K30" i="142"/>
  <c r="AF29" i="142"/>
  <c r="AE29" i="142"/>
  <c r="V29" i="142"/>
  <c r="U29" i="142"/>
  <c r="O29" i="142"/>
  <c r="M29" i="142"/>
  <c r="N29" i="142" s="1"/>
  <c r="K29" i="142"/>
  <c r="G29" i="142"/>
  <c r="AF28" i="142"/>
  <c r="AE28" i="142"/>
  <c r="V28" i="142"/>
  <c r="U28" i="142"/>
  <c r="O28" i="142"/>
  <c r="N28" i="142"/>
  <c r="P28" i="142" s="1"/>
  <c r="M28" i="142"/>
  <c r="K28" i="142"/>
  <c r="G28" i="142"/>
  <c r="AF27" i="142"/>
  <c r="AE27" i="142"/>
  <c r="V27" i="142"/>
  <c r="U27" i="142"/>
  <c r="O27" i="142"/>
  <c r="M27" i="142"/>
  <c r="N27" i="142" s="1"/>
  <c r="K27" i="142"/>
  <c r="G27" i="142"/>
  <c r="AF26" i="142"/>
  <c r="AE26" i="142"/>
  <c r="V26" i="142"/>
  <c r="U26" i="142"/>
  <c r="O26" i="142"/>
  <c r="N26" i="142"/>
  <c r="Q26" i="142" s="1"/>
  <c r="M26" i="142"/>
  <c r="K26" i="142"/>
  <c r="G26" i="142"/>
  <c r="AF25" i="142"/>
  <c r="AE25" i="142"/>
  <c r="V25" i="142"/>
  <c r="U25" i="142"/>
  <c r="O25" i="142"/>
  <c r="M25" i="142"/>
  <c r="N25" i="142" s="1"/>
  <c r="K25" i="142"/>
  <c r="G25" i="142"/>
  <c r="V24" i="142"/>
  <c r="O24" i="142"/>
  <c r="M24" i="142"/>
  <c r="N24" i="142" s="1"/>
  <c r="K24" i="142"/>
  <c r="G24" i="142"/>
  <c r="AD23" i="142"/>
  <c r="Z23" i="142"/>
  <c r="Y23" i="142"/>
  <c r="O23" i="142"/>
  <c r="K23" i="142"/>
  <c r="V22" i="142"/>
  <c r="U22" i="142"/>
  <c r="O22" i="142"/>
  <c r="M22" i="142"/>
  <c r="M23" i="142" s="1"/>
  <c r="K22" i="142"/>
  <c r="G22" i="142"/>
  <c r="AF21" i="142"/>
  <c r="AE21" i="142"/>
  <c r="V21" i="142"/>
  <c r="U21" i="142"/>
  <c r="O21" i="142"/>
  <c r="N21" i="142"/>
  <c r="Q21" i="142" s="1"/>
  <c r="M21" i="142"/>
  <c r="K21" i="142"/>
  <c r="G21" i="142"/>
  <c r="AF20" i="142"/>
  <c r="AE20" i="142"/>
  <c r="V20" i="142"/>
  <c r="U20" i="142"/>
  <c r="O20" i="142"/>
  <c r="M20" i="142"/>
  <c r="N20" i="142" s="1"/>
  <c r="K20" i="142"/>
  <c r="G20" i="142"/>
  <c r="AF19" i="142"/>
  <c r="AE19" i="142"/>
  <c r="V19" i="142"/>
  <c r="U19" i="142"/>
  <c r="O19" i="142"/>
  <c r="N19" i="142"/>
  <c r="P19" i="142" s="1"/>
  <c r="M19" i="142"/>
  <c r="K19" i="142"/>
  <c r="G19" i="142"/>
  <c r="AF18" i="142"/>
  <c r="AE18" i="142"/>
  <c r="V18" i="142"/>
  <c r="U18" i="142"/>
  <c r="O18" i="142"/>
  <c r="M18" i="142"/>
  <c r="N18" i="142" s="1"/>
  <c r="K18" i="142"/>
  <c r="G18" i="142"/>
  <c r="AF17" i="142"/>
  <c r="AE17" i="142"/>
  <c r="V17" i="142"/>
  <c r="U17" i="142"/>
  <c r="O17" i="142"/>
  <c r="N17" i="142"/>
  <c r="Q17" i="142" s="1"/>
  <c r="M17" i="142"/>
  <c r="K17" i="142"/>
  <c r="G17" i="142"/>
  <c r="AF16" i="142"/>
  <c r="AE16" i="142"/>
  <c r="X16" i="142"/>
  <c r="W16" i="142"/>
  <c r="V16" i="142"/>
  <c r="O16" i="142"/>
  <c r="N16" i="142"/>
  <c r="Q16" i="142" s="1"/>
  <c r="M16" i="142"/>
  <c r="K16" i="142"/>
  <c r="G16" i="142"/>
  <c r="AD15" i="142"/>
  <c r="Z15" i="142"/>
  <c r="Y15" i="142"/>
  <c r="O15" i="142"/>
  <c r="K15" i="142"/>
  <c r="AF14" i="142"/>
  <c r="AE14" i="142"/>
  <c r="V14" i="142"/>
  <c r="U14" i="142"/>
  <c r="O14" i="142"/>
  <c r="N14" i="142"/>
  <c r="Q14" i="142" s="1"/>
  <c r="M14" i="142"/>
  <c r="K14" i="142"/>
  <c r="G14" i="142"/>
  <c r="AF13" i="142"/>
  <c r="AE13" i="142"/>
  <c r="V13" i="142"/>
  <c r="U13" i="142"/>
  <c r="O13" i="142"/>
  <c r="M13" i="142"/>
  <c r="N13" i="142" s="1"/>
  <c r="K13" i="142"/>
  <c r="G13" i="142"/>
  <c r="AF12" i="142"/>
  <c r="AE12" i="142"/>
  <c r="X12" i="142"/>
  <c r="W12" i="142"/>
  <c r="V12" i="142"/>
  <c r="U12" i="142"/>
  <c r="O12" i="142"/>
  <c r="N12" i="142"/>
  <c r="Q12" i="142" s="1"/>
  <c r="M12" i="142"/>
  <c r="K12" i="142"/>
  <c r="G12" i="142"/>
  <c r="AF11" i="142"/>
  <c r="AE11" i="142"/>
  <c r="V11" i="142"/>
  <c r="U11" i="142"/>
  <c r="O11" i="142"/>
  <c r="M11" i="142"/>
  <c r="N11" i="142" s="1"/>
  <c r="K11" i="142"/>
  <c r="G11" i="142"/>
  <c r="X10" i="142"/>
  <c r="W10" i="142"/>
  <c r="V10" i="142"/>
  <c r="O10" i="142"/>
  <c r="M10" i="142"/>
  <c r="M15" i="142" s="1"/>
  <c r="K10" i="142"/>
  <c r="G10" i="142"/>
  <c r="AD9" i="142"/>
  <c r="Z9" i="142"/>
  <c r="Y9" i="142"/>
  <c r="O9" i="142"/>
  <c r="K9" i="142"/>
  <c r="AF8" i="142"/>
  <c r="AE8" i="142"/>
  <c r="V8" i="142"/>
  <c r="U8" i="142"/>
  <c r="O8" i="142"/>
  <c r="M8" i="142"/>
  <c r="N8" i="142" s="1"/>
  <c r="K8" i="142"/>
  <c r="G8" i="142"/>
  <c r="AF7" i="142"/>
  <c r="AE7" i="142"/>
  <c r="X7" i="142"/>
  <c r="W7" i="142"/>
  <c r="V7" i="142"/>
  <c r="U7" i="142"/>
  <c r="O7" i="142"/>
  <c r="N7" i="142"/>
  <c r="Q7" i="142" s="1"/>
  <c r="M7" i="142"/>
  <c r="K7" i="142"/>
  <c r="G7" i="142"/>
  <c r="AF6" i="142"/>
  <c r="AE6" i="142"/>
  <c r="V6" i="142"/>
  <c r="U6" i="142"/>
  <c r="O6" i="142"/>
  <c r="M6" i="142"/>
  <c r="N6" i="142" s="1"/>
  <c r="K6" i="142"/>
  <c r="G6" i="142"/>
  <c r="V5" i="142"/>
  <c r="O5" i="142"/>
  <c r="M5" i="142"/>
  <c r="N5" i="142" s="1"/>
  <c r="K5" i="142"/>
  <c r="G5" i="142"/>
  <c r="AD2" i="142"/>
  <c r="Z2" i="142"/>
  <c r="Y2" i="142"/>
  <c r="H2" i="142"/>
  <c r="H1" i="142"/>
  <c r="F1" i="142"/>
  <c r="I3" i="141" s="1"/>
  <c r="D1" i="142"/>
  <c r="M22" i="141"/>
  <c r="L22" i="141"/>
  <c r="K22" i="141"/>
  <c r="J22" i="141"/>
  <c r="I22" i="141"/>
  <c r="H22" i="141"/>
  <c r="G22" i="141"/>
  <c r="F22" i="141"/>
  <c r="E22" i="141"/>
  <c r="D22" i="141"/>
  <c r="M21" i="141"/>
  <c r="L21" i="141"/>
  <c r="K21" i="141"/>
  <c r="J21" i="141"/>
  <c r="I21" i="141"/>
  <c r="H21" i="141"/>
  <c r="G21" i="141"/>
  <c r="F21" i="141"/>
  <c r="E21" i="141"/>
  <c r="D21" i="141"/>
  <c r="M20" i="141"/>
  <c r="L20" i="141"/>
  <c r="K20" i="141"/>
  <c r="J20" i="141"/>
  <c r="I20" i="141"/>
  <c r="H20" i="141"/>
  <c r="G20" i="141"/>
  <c r="F20" i="141"/>
  <c r="E20" i="141"/>
  <c r="D20" i="141"/>
  <c r="M19" i="141"/>
  <c r="L19" i="141"/>
  <c r="K19" i="141"/>
  <c r="J19" i="141"/>
  <c r="I19" i="141"/>
  <c r="H19" i="141"/>
  <c r="G19" i="141"/>
  <c r="F19" i="141"/>
  <c r="E19" i="141"/>
  <c r="D19" i="141"/>
  <c r="M18" i="141"/>
  <c r="L18" i="141"/>
  <c r="K18" i="141"/>
  <c r="J18" i="141"/>
  <c r="I18" i="141"/>
  <c r="H18" i="141"/>
  <c r="G18" i="141"/>
  <c r="F18" i="141"/>
  <c r="E18" i="141"/>
  <c r="D18" i="141"/>
  <c r="M17" i="141"/>
  <c r="L17" i="141"/>
  <c r="K17" i="141"/>
  <c r="J17" i="141"/>
  <c r="I17" i="141"/>
  <c r="H17" i="141"/>
  <c r="G17" i="141"/>
  <c r="F17" i="141"/>
  <c r="E17" i="141"/>
  <c r="D17" i="141"/>
  <c r="M16" i="141"/>
  <c r="L16" i="141"/>
  <c r="K16" i="141"/>
  <c r="J16" i="141"/>
  <c r="I16" i="141"/>
  <c r="H16" i="141"/>
  <c r="G16" i="141"/>
  <c r="F16" i="141"/>
  <c r="E16" i="141"/>
  <c r="D16" i="141"/>
  <c r="M13" i="141"/>
  <c r="L13" i="141"/>
  <c r="I6" i="141" s="1"/>
  <c r="K13" i="141"/>
  <c r="J13" i="141"/>
  <c r="I13" i="141"/>
  <c r="H13" i="141"/>
  <c r="G13" i="141"/>
  <c r="F13" i="141"/>
  <c r="E13" i="141"/>
  <c r="D13" i="141"/>
  <c r="G6" i="141" s="1"/>
  <c r="N6" i="141"/>
  <c r="M6" i="141"/>
  <c r="L6" i="141"/>
  <c r="K6" i="141"/>
  <c r="F3" i="141"/>
  <c r="C3" i="141"/>
  <c r="Q11" i="144" l="1"/>
  <c r="P11" i="144"/>
  <c r="Q34" i="144"/>
  <c r="P34" i="144"/>
  <c r="Q21" i="144"/>
  <c r="P21" i="144"/>
  <c r="Q60" i="144"/>
  <c r="P60" i="144"/>
  <c r="N23" i="144"/>
  <c r="AF23" i="144"/>
  <c r="AG16" i="144" s="1"/>
  <c r="AE23" i="144"/>
  <c r="Q8" i="144"/>
  <c r="P8" i="144"/>
  <c r="Q20" i="144"/>
  <c r="P20" i="144"/>
  <c r="Q6" i="144"/>
  <c r="P6" i="144"/>
  <c r="Q58" i="144"/>
  <c r="P58" i="144"/>
  <c r="AF15" i="144"/>
  <c r="AG10" i="144" s="1"/>
  <c r="AE15" i="144"/>
  <c r="N15" i="144"/>
  <c r="P45" i="144"/>
  <c r="Q45" i="144"/>
  <c r="Q50" i="144"/>
  <c r="P50" i="144"/>
  <c r="Q5" i="144"/>
  <c r="P5" i="144"/>
  <c r="Q18" i="144"/>
  <c r="P18" i="144"/>
  <c r="Q61" i="144"/>
  <c r="P61" i="144"/>
  <c r="Q31" i="144"/>
  <c r="P31" i="144"/>
  <c r="AF30" i="144"/>
  <c r="AG24" i="144" s="1"/>
  <c r="AE30" i="144"/>
  <c r="N30" i="144"/>
  <c r="Q53" i="144"/>
  <c r="P53" i="144"/>
  <c r="AF51" i="144"/>
  <c r="AG48" i="144" s="1"/>
  <c r="AE51" i="144"/>
  <c r="N51" i="144"/>
  <c r="Q10" i="144"/>
  <c r="P10" i="144"/>
  <c r="P43" i="144"/>
  <c r="Q43" i="144"/>
  <c r="N47" i="144"/>
  <c r="AF47" i="144"/>
  <c r="AG40" i="144" s="1"/>
  <c r="AE47" i="144"/>
  <c r="Q24" i="144"/>
  <c r="P24" i="144"/>
  <c r="Q27" i="144"/>
  <c r="P27" i="144"/>
  <c r="Q35" i="144"/>
  <c r="P35" i="144"/>
  <c r="N59" i="144"/>
  <c r="AF59" i="144"/>
  <c r="AG52" i="144" s="1"/>
  <c r="AE59" i="144"/>
  <c r="Q55" i="144"/>
  <c r="P55" i="144"/>
  <c r="Q38" i="144"/>
  <c r="P38" i="144"/>
  <c r="P40" i="144"/>
  <c r="Q40" i="144"/>
  <c r="Q14" i="144"/>
  <c r="P14" i="144"/>
  <c r="Q17" i="144"/>
  <c r="P17" i="144"/>
  <c r="Q37" i="144"/>
  <c r="P37" i="144"/>
  <c r="P22" i="144"/>
  <c r="Q22" i="144"/>
  <c r="Q52" i="144"/>
  <c r="P52" i="144"/>
  <c r="Q56" i="144"/>
  <c r="P56" i="144"/>
  <c r="Q71" i="144"/>
  <c r="P71" i="144"/>
  <c r="N39" i="144"/>
  <c r="AF39" i="144"/>
  <c r="AG31" i="144" s="1"/>
  <c r="AE39" i="144"/>
  <c r="Q19" i="144"/>
  <c r="P19" i="144"/>
  <c r="Q57" i="144"/>
  <c r="P57" i="144"/>
  <c r="Q7" i="144"/>
  <c r="P7" i="144"/>
  <c r="Q33" i="144"/>
  <c r="P33" i="144"/>
  <c r="Q41" i="144"/>
  <c r="P41" i="144"/>
  <c r="Q32" i="144"/>
  <c r="P32" i="144"/>
  <c r="Q12" i="144"/>
  <c r="P12" i="144"/>
  <c r="Q29" i="144"/>
  <c r="P29" i="144"/>
  <c r="AF9" i="144"/>
  <c r="AG5" i="144" s="1"/>
  <c r="AE9" i="144"/>
  <c r="N9" i="144"/>
  <c r="Q25" i="144"/>
  <c r="P25" i="144"/>
  <c r="P62" i="144"/>
  <c r="Q62" i="144"/>
  <c r="AF72" i="144"/>
  <c r="AG65" i="144" s="1"/>
  <c r="AE72" i="144"/>
  <c r="N72" i="144"/>
  <c r="Q13" i="144"/>
  <c r="P13" i="144"/>
  <c r="Q36" i="144"/>
  <c r="P36" i="144"/>
  <c r="N64" i="144"/>
  <c r="AF64" i="144"/>
  <c r="AG60" i="144" s="1"/>
  <c r="AE64" i="144"/>
  <c r="Q16" i="144"/>
  <c r="P16" i="144"/>
  <c r="Q67" i="144"/>
  <c r="P67" i="144"/>
  <c r="Q42" i="144"/>
  <c r="P42" i="144"/>
  <c r="P24" i="142"/>
  <c r="Q24" i="142"/>
  <c r="Q55" i="142"/>
  <c r="P55" i="142"/>
  <c r="P27" i="142"/>
  <c r="Q27" i="142"/>
  <c r="P53" i="142"/>
  <c r="Q53" i="142"/>
  <c r="Q25" i="142"/>
  <c r="P25" i="142"/>
  <c r="AF51" i="142"/>
  <c r="AG48" i="142" s="1"/>
  <c r="AE51" i="142"/>
  <c r="N51" i="142"/>
  <c r="AE15" i="142"/>
  <c r="N15" i="142"/>
  <c r="AF15" i="142"/>
  <c r="AG10" i="142" s="1"/>
  <c r="N47" i="142"/>
  <c r="AE47" i="142"/>
  <c r="AF47" i="142"/>
  <c r="AG40" i="142" s="1"/>
  <c r="AF23" i="142"/>
  <c r="AG16" i="142" s="1"/>
  <c r="AE23" i="142"/>
  <c r="N23" i="142"/>
  <c r="Q38" i="142"/>
  <c r="P38" i="142"/>
  <c r="Q5" i="142"/>
  <c r="P5" i="142"/>
  <c r="Q41" i="142"/>
  <c r="P41" i="142"/>
  <c r="Q20" i="142"/>
  <c r="P20" i="142"/>
  <c r="AF72" i="142"/>
  <c r="AG65" i="142" s="1"/>
  <c r="AE72" i="142"/>
  <c r="N72" i="142"/>
  <c r="P69" i="142"/>
  <c r="Q69" i="142"/>
  <c r="Q13" i="142"/>
  <c r="P13" i="142"/>
  <c r="Q46" i="142"/>
  <c r="P46" i="142"/>
  <c r="Q8" i="142"/>
  <c r="P8" i="142"/>
  <c r="Q11" i="142"/>
  <c r="P11" i="142"/>
  <c r="P18" i="142"/>
  <c r="Q18" i="142"/>
  <c r="N64" i="142"/>
  <c r="AF64" i="142"/>
  <c r="AG60" i="142" s="1"/>
  <c r="AE64" i="142"/>
  <c r="Q6" i="142"/>
  <c r="P6" i="142"/>
  <c r="P34" i="142"/>
  <c r="Q34" i="142"/>
  <c r="Q67" i="142"/>
  <c r="P67" i="142"/>
  <c r="Q29" i="142"/>
  <c r="P29" i="142"/>
  <c r="Q32" i="142"/>
  <c r="P32" i="142"/>
  <c r="N10" i="142"/>
  <c r="N22" i="142"/>
  <c r="N31" i="142"/>
  <c r="N36" i="142"/>
  <c r="N43" i="142"/>
  <c r="N50" i="142"/>
  <c r="N57" i="142"/>
  <c r="M59" i="142"/>
  <c r="N71" i="142"/>
  <c r="P7" i="142"/>
  <c r="M9" i="142"/>
  <c r="P12" i="142"/>
  <c r="P17" i="142"/>
  <c r="AF22" i="142"/>
  <c r="P26" i="142"/>
  <c r="M30" i="142"/>
  <c r="P33" i="142"/>
  <c r="AF36" i="142"/>
  <c r="Q40" i="142"/>
  <c r="AF43" i="142"/>
  <c r="Q45" i="142"/>
  <c r="AF50" i="142"/>
  <c r="AF57" i="142"/>
  <c r="P61" i="142"/>
  <c r="P68" i="142"/>
  <c r="AF71" i="142"/>
  <c r="AE71" i="142"/>
  <c r="P14" i="142"/>
  <c r="P66" i="142"/>
  <c r="AE5" i="142"/>
  <c r="AE10" i="142"/>
  <c r="AE24" i="142"/>
  <c r="AE31" i="142"/>
  <c r="AE38" i="142"/>
  <c r="Q19" i="142"/>
  <c r="Q28" i="142"/>
  <c r="Q35" i="142"/>
  <c r="AE52" i="142"/>
  <c r="Q54" i="142"/>
  <c r="Q63" i="142"/>
  <c r="P16" i="142"/>
  <c r="P37" i="142"/>
  <c r="P44" i="142"/>
  <c r="P58" i="142"/>
  <c r="E6" i="141"/>
  <c r="F2" i="142"/>
  <c r="P60" i="142"/>
  <c r="N52" i="142"/>
  <c r="AE22" i="142"/>
  <c r="AE50" i="142"/>
  <c r="P21" i="142"/>
  <c r="M39" i="142"/>
  <c r="P42" i="142"/>
  <c r="P49" i="142"/>
  <c r="P56" i="142"/>
  <c r="P65" i="142"/>
  <c r="P70" i="142"/>
  <c r="F6" i="141"/>
  <c r="N62" i="142"/>
  <c r="AE43" i="142"/>
  <c r="AF5" i="142"/>
  <c r="AF10" i="142"/>
  <c r="AF24" i="142"/>
  <c r="AF38" i="142"/>
  <c r="AD75" i="140"/>
  <c r="Z75" i="140"/>
  <c r="Y75" i="140"/>
  <c r="O75" i="140"/>
  <c r="K75" i="140"/>
  <c r="AF74" i="140"/>
  <c r="V74" i="140"/>
  <c r="U74" i="140"/>
  <c r="O74" i="140"/>
  <c r="M74" i="140"/>
  <c r="AE74" i="140" s="1"/>
  <c r="K74" i="140"/>
  <c r="G74" i="140"/>
  <c r="AF73" i="140"/>
  <c r="AE73" i="140"/>
  <c r="V73" i="140"/>
  <c r="U73" i="140"/>
  <c r="O73" i="140"/>
  <c r="N73" i="140"/>
  <c r="Q73" i="140" s="1"/>
  <c r="M73" i="140"/>
  <c r="K73" i="140"/>
  <c r="G73" i="140"/>
  <c r="V72" i="140"/>
  <c r="M72" i="140" s="1"/>
  <c r="U72" i="140"/>
  <c r="O72" i="140"/>
  <c r="K72" i="140"/>
  <c r="G72" i="140"/>
  <c r="AF71" i="140"/>
  <c r="AE71" i="140"/>
  <c r="X71" i="140"/>
  <c r="W71" i="140"/>
  <c r="V71" i="140"/>
  <c r="U71" i="140"/>
  <c r="O71" i="140"/>
  <c r="N71" i="140"/>
  <c r="Q71" i="140" s="1"/>
  <c r="M71" i="140"/>
  <c r="K71" i="140"/>
  <c r="G71" i="140"/>
  <c r="V70" i="140"/>
  <c r="M70" i="140" s="1"/>
  <c r="U70" i="140"/>
  <c r="O70" i="140"/>
  <c r="K70" i="140"/>
  <c r="G70" i="140"/>
  <c r="V69" i="140"/>
  <c r="M69" i="140" s="1"/>
  <c r="U69" i="140"/>
  <c r="O69" i="140"/>
  <c r="K69" i="140"/>
  <c r="G69" i="140"/>
  <c r="V68" i="140"/>
  <c r="M68" i="140" s="1"/>
  <c r="U68" i="140"/>
  <c r="O68" i="140"/>
  <c r="K68" i="140"/>
  <c r="G68" i="140"/>
  <c r="X67" i="140"/>
  <c r="W67" i="140"/>
  <c r="V67" i="140"/>
  <c r="M67" i="140" s="1"/>
  <c r="O67" i="140"/>
  <c r="K67" i="140"/>
  <c r="G67" i="140"/>
  <c r="AD66" i="140"/>
  <c r="Z66" i="140"/>
  <c r="J19" i="139" s="1"/>
  <c r="Y66" i="140"/>
  <c r="O66" i="140"/>
  <c r="K66" i="140"/>
  <c r="V65" i="140"/>
  <c r="M65" i="140" s="1"/>
  <c r="U65" i="140"/>
  <c r="O65" i="140"/>
  <c r="K65" i="140"/>
  <c r="G65" i="140"/>
  <c r="V64" i="140"/>
  <c r="M64" i="140" s="1"/>
  <c r="U64" i="140"/>
  <c r="O64" i="140"/>
  <c r="K64" i="140"/>
  <c r="G64" i="140"/>
  <c r="V63" i="140"/>
  <c r="M63" i="140" s="1"/>
  <c r="U63" i="140"/>
  <c r="O63" i="140"/>
  <c r="K63" i="140"/>
  <c r="G63" i="140"/>
  <c r="V62" i="140"/>
  <c r="M62" i="140" s="1"/>
  <c r="O62" i="140"/>
  <c r="K62" i="140"/>
  <c r="G62" i="140"/>
  <c r="AD61" i="140"/>
  <c r="Z61" i="140"/>
  <c r="Y61" i="140"/>
  <c r="O61" i="140"/>
  <c r="K61" i="140"/>
  <c r="V60" i="140"/>
  <c r="U60" i="140"/>
  <c r="O60" i="140"/>
  <c r="M60" i="140"/>
  <c r="AF60" i="140" s="1"/>
  <c r="K60" i="140"/>
  <c r="G60" i="140"/>
  <c r="V59" i="140"/>
  <c r="U59" i="140"/>
  <c r="O59" i="140"/>
  <c r="M59" i="140"/>
  <c r="AF59" i="140" s="1"/>
  <c r="K59" i="140"/>
  <c r="G59" i="140"/>
  <c r="V58" i="140"/>
  <c r="U58" i="140"/>
  <c r="O58" i="140"/>
  <c r="M58" i="140"/>
  <c r="AF58" i="140" s="1"/>
  <c r="K58" i="140"/>
  <c r="G58" i="140"/>
  <c r="V57" i="140"/>
  <c r="U57" i="140"/>
  <c r="O57" i="140"/>
  <c r="M57" i="140"/>
  <c r="AF57" i="140" s="1"/>
  <c r="K57" i="140"/>
  <c r="G57" i="140"/>
  <c r="AF56" i="140"/>
  <c r="V56" i="140"/>
  <c r="U56" i="140"/>
  <c r="P56" i="140"/>
  <c r="O56" i="140"/>
  <c r="N56" i="140"/>
  <c r="Q56" i="140" s="1"/>
  <c r="M56" i="140"/>
  <c r="AE56" i="140" s="1"/>
  <c r="K56" i="140"/>
  <c r="G56" i="140"/>
  <c r="AF55" i="140"/>
  <c r="AE55" i="140"/>
  <c r="V55" i="140"/>
  <c r="U55" i="140"/>
  <c r="O55" i="140"/>
  <c r="M55" i="140"/>
  <c r="N55" i="140" s="1"/>
  <c r="K55" i="140"/>
  <c r="G55" i="140"/>
  <c r="X54" i="140"/>
  <c r="W54" i="140"/>
  <c r="V54" i="140"/>
  <c r="M54" i="140" s="1"/>
  <c r="O54" i="140"/>
  <c r="K54" i="140"/>
  <c r="G54" i="140"/>
  <c r="AD53" i="140"/>
  <c r="Z53" i="140"/>
  <c r="Y53" i="140"/>
  <c r="O53" i="140"/>
  <c r="K53" i="140"/>
  <c r="AF52" i="140"/>
  <c r="AE52" i="140"/>
  <c r="V52" i="140"/>
  <c r="U52" i="140"/>
  <c r="O52" i="140"/>
  <c r="M52" i="140"/>
  <c r="N52" i="140" s="1"/>
  <c r="K52" i="140"/>
  <c r="G52" i="140"/>
  <c r="V51" i="140"/>
  <c r="M51" i="140" s="1"/>
  <c r="U51" i="140"/>
  <c r="O51" i="140"/>
  <c r="K51" i="140"/>
  <c r="G51" i="140"/>
  <c r="V50" i="140"/>
  <c r="M50" i="140" s="1"/>
  <c r="O50" i="140"/>
  <c r="K50" i="140"/>
  <c r="G50" i="140"/>
  <c r="AD49" i="140"/>
  <c r="Z49" i="140"/>
  <c r="L19" i="139" s="1"/>
  <c r="Y49" i="140"/>
  <c r="O49" i="140"/>
  <c r="K49" i="140"/>
  <c r="V48" i="140"/>
  <c r="M48" i="140" s="1"/>
  <c r="U48" i="140"/>
  <c r="O48" i="140"/>
  <c r="K48" i="140"/>
  <c r="G48" i="140"/>
  <c r="AF47" i="140"/>
  <c r="V47" i="140"/>
  <c r="U47" i="140"/>
  <c r="O47" i="140"/>
  <c r="M47" i="140"/>
  <c r="N47" i="140" s="1"/>
  <c r="K47" i="140"/>
  <c r="G47" i="140"/>
  <c r="AF46" i="140"/>
  <c r="AE46" i="140"/>
  <c r="V46" i="140"/>
  <c r="U46" i="140"/>
  <c r="O46" i="140"/>
  <c r="M46" i="140"/>
  <c r="N46" i="140" s="1"/>
  <c r="K46" i="140"/>
  <c r="G46" i="140"/>
  <c r="AF45" i="140"/>
  <c r="AE45" i="140"/>
  <c r="X45" i="140"/>
  <c r="W45" i="140"/>
  <c r="V45" i="140"/>
  <c r="U45" i="140"/>
  <c r="O45" i="140"/>
  <c r="M45" i="140"/>
  <c r="N45" i="140" s="1"/>
  <c r="K45" i="140"/>
  <c r="G45" i="140"/>
  <c r="AF44" i="140"/>
  <c r="AE44" i="140"/>
  <c r="V44" i="140"/>
  <c r="U44" i="140"/>
  <c r="O44" i="140"/>
  <c r="M44" i="140"/>
  <c r="N44" i="140" s="1"/>
  <c r="K44" i="140"/>
  <c r="G44" i="140"/>
  <c r="V43" i="140"/>
  <c r="M43" i="140" s="1"/>
  <c r="U43" i="140"/>
  <c r="O43" i="140"/>
  <c r="K43" i="140"/>
  <c r="G43" i="140"/>
  <c r="V42" i="140"/>
  <c r="U42" i="140"/>
  <c r="O42" i="140"/>
  <c r="M42" i="140"/>
  <c r="AF42" i="140" s="1"/>
  <c r="K42" i="140"/>
  <c r="G42" i="140"/>
  <c r="AF41" i="140"/>
  <c r="AE41" i="140"/>
  <c r="X41" i="140"/>
  <c r="W41" i="140"/>
  <c r="V41" i="140"/>
  <c r="O41" i="140"/>
  <c r="M41" i="140"/>
  <c r="N41" i="140" s="1"/>
  <c r="K41" i="140"/>
  <c r="G41" i="140"/>
  <c r="AD40" i="140"/>
  <c r="Z40" i="140"/>
  <c r="Y40" i="140"/>
  <c r="O40" i="140"/>
  <c r="K40" i="140"/>
  <c r="V39" i="140"/>
  <c r="U39" i="140"/>
  <c r="O39" i="140"/>
  <c r="M39" i="140"/>
  <c r="AF39" i="140" s="1"/>
  <c r="K39" i="140"/>
  <c r="G39" i="140"/>
  <c r="V38" i="140"/>
  <c r="M38" i="140" s="1"/>
  <c r="U38" i="140"/>
  <c r="O38" i="140"/>
  <c r="K38" i="140"/>
  <c r="G38" i="140"/>
  <c r="V37" i="140"/>
  <c r="M37" i="140" s="1"/>
  <c r="U37" i="140"/>
  <c r="O37" i="140"/>
  <c r="K37" i="140"/>
  <c r="G37" i="140"/>
  <c r="X36" i="140"/>
  <c r="W36" i="140"/>
  <c r="V36" i="140"/>
  <c r="M36" i="140" s="1"/>
  <c r="U36" i="140"/>
  <c r="O36" i="140"/>
  <c r="K36" i="140"/>
  <c r="G36" i="140"/>
  <c r="V35" i="140"/>
  <c r="M35" i="140" s="1"/>
  <c r="U35" i="140"/>
  <c r="O35" i="140"/>
  <c r="K35" i="140"/>
  <c r="G35" i="140"/>
  <c r="V34" i="140"/>
  <c r="M34" i="140" s="1"/>
  <c r="U34" i="140"/>
  <c r="O34" i="140"/>
  <c r="K34" i="140"/>
  <c r="G34" i="140"/>
  <c r="V33" i="140"/>
  <c r="M33" i="140" s="1"/>
  <c r="U33" i="140"/>
  <c r="O33" i="140"/>
  <c r="K33" i="140"/>
  <c r="G33" i="140"/>
  <c r="X32" i="140"/>
  <c r="W32" i="140"/>
  <c r="V32" i="140"/>
  <c r="M32" i="140" s="1"/>
  <c r="O32" i="140"/>
  <c r="K32" i="140"/>
  <c r="G32" i="140"/>
  <c r="AD31" i="140"/>
  <c r="Z31" i="140"/>
  <c r="Y31" i="140"/>
  <c r="O31" i="140"/>
  <c r="K31" i="140"/>
  <c r="V30" i="140"/>
  <c r="M30" i="140" s="1"/>
  <c r="U30" i="140"/>
  <c r="O30" i="140"/>
  <c r="K30" i="140"/>
  <c r="G30" i="140"/>
  <c r="AF29" i="140"/>
  <c r="AE29" i="140"/>
  <c r="V29" i="140"/>
  <c r="U29" i="140"/>
  <c r="Q29" i="140"/>
  <c r="O29" i="140"/>
  <c r="N29" i="140"/>
  <c r="P29" i="140" s="1"/>
  <c r="M29" i="140"/>
  <c r="K29" i="140"/>
  <c r="G29" i="140"/>
  <c r="V28" i="140"/>
  <c r="M28" i="140" s="1"/>
  <c r="U28" i="140"/>
  <c r="O28" i="140"/>
  <c r="K28" i="140"/>
  <c r="G28" i="140"/>
  <c r="V27" i="140"/>
  <c r="U27" i="140"/>
  <c r="O27" i="140"/>
  <c r="M27" i="140"/>
  <c r="N27" i="140" s="1"/>
  <c r="K27" i="140"/>
  <c r="G27" i="140"/>
  <c r="V26" i="140"/>
  <c r="M26" i="140" s="1"/>
  <c r="U26" i="140"/>
  <c r="O26" i="140"/>
  <c r="K26" i="140"/>
  <c r="G26" i="140"/>
  <c r="V25" i="140"/>
  <c r="M25" i="140" s="1"/>
  <c r="O25" i="140"/>
  <c r="K25" i="140"/>
  <c r="G25" i="140"/>
  <c r="AD24" i="140"/>
  <c r="Z24" i="140"/>
  <c r="Y24" i="140"/>
  <c r="O24" i="140"/>
  <c r="K24" i="140"/>
  <c r="V23" i="140"/>
  <c r="U23" i="140"/>
  <c r="O23" i="140"/>
  <c r="M23" i="140"/>
  <c r="N23" i="140" s="1"/>
  <c r="K23" i="140"/>
  <c r="G23" i="140"/>
  <c r="V22" i="140"/>
  <c r="M22" i="140" s="1"/>
  <c r="U22" i="140"/>
  <c r="O22" i="140"/>
  <c r="K22" i="140"/>
  <c r="G22" i="140"/>
  <c r="V21" i="140"/>
  <c r="U21" i="140"/>
  <c r="O21" i="140"/>
  <c r="M21" i="140"/>
  <c r="AF21" i="140" s="1"/>
  <c r="K21" i="140"/>
  <c r="G21" i="140"/>
  <c r="V20" i="140"/>
  <c r="U20" i="140"/>
  <c r="O20" i="140"/>
  <c r="M20" i="140"/>
  <c r="AF20" i="140" s="1"/>
  <c r="K20" i="140"/>
  <c r="G20" i="140"/>
  <c r="V19" i="140"/>
  <c r="M19" i="140" s="1"/>
  <c r="U19" i="140"/>
  <c r="O19" i="140"/>
  <c r="K19" i="140"/>
  <c r="G19" i="140"/>
  <c r="V18" i="140"/>
  <c r="M18" i="140" s="1"/>
  <c r="U18" i="140"/>
  <c r="O18" i="140"/>
  <c r="K18" i="140"/>
  <c r="G18" i="140"/>
  <c r="X17" i="140"/>
  <c r="W17" i="140"/>
  <c r="V17" i="140"/>
  <c r="O17" i="140"/>
  <c r="M17" i="140"/>
  <c r="AF17" i="140" s="1"/>
  <c r="K17" i="140"/>
  <c r="G17" i="140"/>
  <c r="AD16" i="140"/>
  <c r="Z16" i="140"/>
  <c r="Y16" i="140"/>
  <c r="O16" i="140"/>
  <c r="K16" i="140"/>
  <c r="E13" i="139" s="1"/>
  <c r="V15" i="140"/>
  <c r="M15" i="140" s="1"/>
  <c r="U15" i="140"/>
  <c r="O15" i="140"/>
  <c r="K15" i="140"/>
  <c r="G15" i="140"/>
  <c r="V14" i="140"/>
  <c r="M14" i="140" s="1"/>
  <c r="U14" i="140"/>
  <c r="O14" i="140"/>
  <c r="K14" i="140"/>
  <c r="G14" i="140"/>
  <c r="AF13" i="140"/>
  <c r="AE13" i="140"/>
  <c r="V13" i="140"/>
  <c r="U13" i="140"/>
  <c r="P13" i="140"/>
  <c r="O13" i="140"/>
  <c r="N13" i="140"/>
  <c r="Q13" i="140" s="1"/>
  <c r="M13" i="140"/>
  <c r="K13" i="140"/>
  <c r="G13" i="140"/>
  <c r="X12" i="140"/>
  <c r="W12" i="140"/>
  <c r="V12" i="140"/>
  <c r="M12" i="140" s="1"/>
  <c r="U12" i="140"/>
  <c r="O12" i="140"/>
  <c r="K12" i="140"/>
  <c r="G12" i="140"/>
  <c r="AF11" i="140"/>
  <c r="AE11" i="140"/>
  <c r="V11" i="140"/>
  <c r="U11" i="140"/>
  <c r="O11" i="140"/>
  <c r="M11" i="140"/>
  <c r="N11" i="140" s="1"/>
  <c r="K11" i="140"/>
  <c r="G11" i="140"/>
  <c r="X10" i="140"/>
  <c r="W10" i="140"/>
  <c r="V10" i="140"/>
  <c r="M10" i="140" s="1"/>
  <c r="O10" i="140"/>
  <c r="K10" i="140"/>
  <c r="G10" i="140"/>
  <c r="F1" i="140" s="1"/>
  <c r="AD9" i="140"/>
  <c r="AD2" i="140" s="1"/>
  <c r="N6" i="139" s="1"/>
  <c r="Z9" i="140"/>
  <c r="Y9" i="140"/>
  <c r="Y2" i="140" s="1"/>
  <c r="K6" i="139" s="1"/>
  <c r="O9" i="140"/>
  <c r="K9" i="140"/>
  <c r="AF8" i="140"/>
  <c r="AE8" i="140"/>
  <c r="V8" i="140"/>
  <c r="U8" i="140"/>
  <c r="O8" i="140"/>
  <c r="M8" i="140"/>
  <c r="N8" i="140" s="1"/>
  <c r="K8" i="140"/>
  <c r="G8" i="140"/>
  <c r="X7" i="140"/>
  <c r="W7" i="140"/>
  <c r="V7" i="140"/>
  <c r="M7" i="140" s="1"/>
  <c r="U7" i="140"/>
  <c r="O7" i="140"/>
  <c r="K7" i="140"/>
  <c r="G7" i="140"/>
  <c r="AF6" i="140"/>
  <c r="AE6" i="140"/>
  <c r="V6" i="140"/>
  <c r="U6" i="140"/>
  <c r="O6" i="140"/>
  <c r="M6" i="140"/>
  <c r="N6" i="140" s="1"/>
  <c r="K6" i="140"/>
  <c r="G6" i="140"/>
  <c r="AF5" i="140"/>
  <c r="AE5" i="140"/>
  <c r="V5" i="140"/>
  <c r="O5" i="140"/>
  <c r="M5" i="140"/>
  <c r="N5" i="140" s="1"/>
  <c r="K5" i="140"/>
  <c r="G5" i="140"/>
  <c r="AC2" i="140"/>
  <c r="Z2" i="140"/>
  <c r="L6" i="139" s="1"/>
  <c r="H2" i="140"/>
  <c r="H1" i="140"/>
  <c r="D1" i="140"/>
  <c r="M22" i="139"/>
  <c r="L22" i="139"/>
  <c r="K22" i="139"/>
  <c r="J22" i="139"/>
  <c r="I22" i="139"/>
  <c r="H22" i="139"/>
  <c r="G22" i="139"/>
  <c r="F22" i="139"/>
  <c r="E22" i="139"/>
  <c r="D22" i="139"/>
  <c r="M21" i="139"/>
  <c r="L21" i="139"/>
  <c r="K21" i="139"/>
  <c r="J21" i="139"/>
  <c r="I21" i="139"/>
  <c r="H21" i="139"/>
  <c r="G21" i="139"/>
  <c r="F21" i="139"/>
  <c r="E21" i="139"/>
  <c r="D21" i="139"/>
  <c r="M20" i="139"/>
  <c r="L20" i="139"/>
  <c r="K20" i="139"/>
  <c r="J20" i="139"/>
  <c r="I20" i="139"/>
  <c r="H20" i="139"/>
  <c r="G20" i="139"/>
  <c r="F20" i="139"/>
  <c r="E20" i="139"/>
  <c r="D20" i="139"/>
  <c r="M19" i="139"/>
  <c r="K19" i="139"/>
  <c r="I19" i="139"/>
  <c r="H19" i="139"/>
  <c r="G19" i="139"/>
  <c r="F19" i="139"/>
  <c r="E19" i="139"/>
  <c r="D19" i="139"/>
  <c r="M18" i="139"/>
  <c r="L18" i="139"/>
  <c r="K18" i="139"/>
  <c r="J18" i="139"/>
  <c r="I18" i="139"/>
  <c r="H18" i="139"/>
  <c r="G18" i="139"/>
  <c r="F18" i="139"/>
  <c r="E18" i="139"/>
  <c r="D18" i="139"/>
  <c r="M17" i="139"/>
  <c r="L17" i="139"/>
  <c r="K17" i="139"/>
  <c r="J17" i="139"/>
  <c r="I17" i="139"/>
  <c r="H17" i="139"/>
  <c r="G17" i="139"/>
  <c r="F17" i="139"/>
  <c r="E17" i="139"/>
  <c r="D17" i="139"/>
  <c r="M16" i="139"/>
  <c r="L16" i="139"/>
  <c r="K16" i="139"/>
  <c r="J16" i="139"/>
  <c r="I16" i="139"/>
  <c r="H16" i="139"/>
  <c r="G16" i="139"/>
  <c r="F16" i="139"/>
  <c r="E16" i="139"/>
  <c r="D16" i="139"/>
  <c r="M13" i="139"/>
  <c r="L13" i="139"/>
  <c r="K13" i="139"/>
  <c r="I6" i="139" s="1"/>
  <c r="J13" i="139"/>
  <c r="I13" i="139"/>
  <c r="H13" i="139"/>
  <c r="G13" i="139"/>
  <c r="F13" i="139"/>
  <c r="D13" i="139"/>
  <c r="M6" i="139"/>
  <c r="F3" i="139"/>
  <c r="C3" i="139"/>
  <c r="Q15" i="144" l="1"/>
  <c r="R10" i="144" s="1"/>
  <c r="P15" i="144"/>
  <c r="E14" i="143"/>
  <c r="E15" i="143" s="1"/>
  <c r="Q59" i="144"/>
  <c r="R52" i="144" s="1"/>
  <c r="I14" i="143"/>
  <c r="I15" i="143" s="1"/>
  <c r="P59" i="144"/>
  <c r="P39" i="144"/>
  <c r="K14" i="143"/>
  <c r="Q39" i="144"/>
  <c r="R31" i="144" s="1"/>
  <c r="Q23" i="144"/>
  <c r="R16" i="144" s="1"/>
  <c r="P23" i="144"/>
  <c r="F14" i="143"/>
  <c r="F15" i="143" s="1"/>
  <c r="Q51" i="144"/>
  <c r="R48" i="144" s="1"/>
  <c r="P51" i="144"/>
  <c r="H14" i="143"/>
  <c r="H15" i="143" s="1"/>
  <c r="Q72" i="144"/>
  <c r="R65" i="144" s="1"/>
  <c r="P72" i="144"/>
  <c r="M14" i="143"/>
  <c r="M15" i="143" s="1"/>
  <c r="Q64" i="144"/>
  <c r="R60" i="144" s="1"/>
  <c r="P64" i="144"/>
  <c r="J14" i="143"/>
  <c r="J15" i="143" s="1"/>
  <c r="D2" i="144"/>
  <c r="Q9" i="144"/>
  <c r="R5" i="144" s="1"/>
  <c r="P9" i="144"/>
  <c r="D14" i="143"/>
  <c r="Q47" i="144"/>
  <c r="R40" i="144" s="1"/>
  <c r="P47" i="144"/>
  <c r="L14" i="143"/>
  <c r="L15" i="143" s="1"/>
  <c r="Q30" i="144"/>
  <c r="R24" i="144" s="1"/>
  <c r="P30" i="144"/>
  <c r="G14" i="143"/>
  <c r="G15" i="143" s="1"/>
  <c r="Q47" i="142"/>
  <c r="R40" i="142" s="1"/>
  <c r="L14" i="141"/>
  <c r="L15" i="141" s="1"/>
  <c r="P47" i="142"/>
  <c r="P15" i="142"/>
  <c r="Q15" i="142"/>
  <c r="R10" i="142" s="1"/>
  <c r="E14" i="141"/>
  <c r="E15" i="141" s="1"/>
  <c r="AF30" i="142"/>
  <c r="AG24" i="142" s="1"/>
  <c r="AE30" i="142"/>
  <c r="N30" i="142"/>
  <c r="P51" i="142"/>
  <c r="Q51" i="142"/>
  <c r="R48" i="142" s="1"/>
  <c r="H14" i="141"/>
  <c r="H15" i="141" s="1"/>
  <c r="AE39" i="142"/>
  <c r="N39" i="142"/>
  <c r="AF39" i="142"/>
  <c r="AG31" i="142" s="1"/>
  <c r="AF9" i="142"/>
  <c r="AG5" i="142" s="1"/>
  <c r="AE9" i="142"/>
  <c r="N9" i="142"/>
  <c r="P64" i="142"/>
  <c r="J14" i="141"/>
  <c r="J15" i="141" s="1"/>
  <c r="Q64" i="142"/>
  <c r="R60" i="142" s="1"/>
  <c r="P22" i="142"/>
  <c r="Q22" i="142"/>
  <c r="M14" i="141"/>
  <c r="M15" i="141" s="1"/>
  <c r="Q72" i="142"/>
  <c r="R65" i="142" s="1"/>
  <c r="P72" i="142"/>
  <c r="P71" i="142"/>
  <c r="Q71" i="142"/>
  <c r="Q52" i="142"/>
  <c r="P52" i="142"/>
  <c r="AF59" i="142"/>
  <c r="AG52" i="142" s="1"/>
  <c r="AE59" i="142"/>
  <c r="N59" i="142"/>
  <c r="P57" i="142"/>
  <c r="Q57" i="142"/>
  <c r="P50" i="142"/>
  <c r="Q50" i="142"/>
  <c r="P43" i="142"/>
  <c r="Q43" i="142"/>
  <c r="P10" i="142"/>
  <c r="Q10" i="142"/>
  <c r="P62" i="142"/>
  <c r="Q62" i="142"/>
  <c r="Q36" i="142"/>
  <c r="P36" i="142"/>
  <c r="F14" i="141"/>
  <c r="F15" i="141" s="1"/>
  <c r="P23" i="142"/>
  <c r="Q23" i="142"/>
  <c r="R16" i="142" s="1"/>
  <c r="Q31" i="142"/>
  <c r="P31" i="142"/>
  <c r="Q5" i="140"/>
  <c r="P5" i="140"/>
  <c r="N10" i="140"/>
  <c r="AE10" i="140"/>
  <c r="M16" i="140"/>
  <c r="AF10" i="140"/>
  <c r="N26" i="140"/>
  <c r="AF26" i="140"/>
  <c r="AE26" i="140"/>
  <c r="N68" i="140"/>
  <c r="AF68" i="140"/>
  <c r="AE68" i="140"/>
  <c r="AF15" i="140"/>
  <c r="AE15" i="140"/>
  <c r="N15" i="140"/>
  <c r="Q46" i="140"/>
  <c r="P46" i="140"/>
  <c r="M61" i="140"/>
  <c r="N54" i="140"/>
  <c r="AE54" i="140"/>
  <c r="AF54" i="140"/>
  <c r="G6" i="139"/>
  <c r="F6" i="139"/>
  <c r="E6" i="139"/>
  <c r="AE30" i="140"/>
  <c r="N30" i="140"/>
  <c r="AF30" i="140"/>
  <c r="N72" i="140"/>
  <c r="AF72" i="140"/>
  <c r="AE72" i="140"/>
  <c r="Q8" i="140"/>
  <c r="P8" i="140"/>
  <c r="AF35" i="140"/>
  <c r="AE35" i="140"/>
  <c r="N35" i="140"/>
  <c r="AF37" i="140"/>
  <c r="AE37" i="140"/>
  <c r="N37" i="140"/>
  <c r="AF43" i="140"/>
  <c r="AE43" i="140"/>
  <c r="N43" i="140"/>
  <c r="N7" i="140"/>
  <c r="AF7" i="140"/>
  <c r="AE7" i="140"/>
  <c r="Q11" i="140"/>
  <c r="P11" i="140"/>
  <c r="N62" i="140"/>
  <c r="M66" i="140"/>
  <c r="AF62" i="140"/>
  <c r="AE62" i="140"/>
  <c r="N67" i="140"/>
  <c r="AF67" i="140"/>
  <c r="AE67" i="140"/>
  <c r="M75" i="140"/>
  <c r="N69" i="140"/>
  <c r="AF69" i="140"/>
  <c r="AE69" i="140"/>
  <c r="Q52" i="140"/>
  <c r="P52" i="140"/>
  <c r="N12" i="140"/>
  <c r="AF12" i="140"/>
  <c r="AE12" i="140"/>
  <c r="AF18" i="140"/>
  <c r="AE18" i="140"/>
  <c r="N18" i="140"/>
  <c r="AE33" i="140"/>
  <c r="N33" i="140"/>
  <c r="AF33" i="140"/>
  <c r="N48" i="140"/>
  <c r="AF48" i="140"/>
  <c r="AE48" i="140"/>
  <c r="Q55" i="140"/>
  <c r="P55" i="140"/>
  <c r="Q27" i="140"/>
  <c r="P27" i="140"/>
  <c r="N64" i="140"/>
  <c r="AF64" i="140"/>
  <c r="AE64" i="140"/>
  <c r="AF22" i="140"/>
  <c r="AE22" i="140"/>
  <c r="N22" i="140"/>
  <c r="Q6" i="140"/>
  <c r="P6" i="140"/>
  <c r="Q23" i="140"/>
  <c r="P23" i="140"/>
  <c r="N25" i="140"/>
  <c r="AF25" i="140"/>
  <c r="AE25" i="140"/>
  <c r="M31" i="140"/>
  <c r="Q44" i="140"/>
  <c r="P44" i="140"/>
  <c r="P45" i="140"/>
  <c r="Q45" i="140"/>
  <c r="AE14" i="140"/>
  <c r="N14" i="140"/>
  <c r="AF14" i="140"/>
  <c r="N51" i="140"/>
  <c r="AF51" i="140"/>
  <c r="AE51" i="140"/>
  <c r="N65" i="140"/>
  <c r="AF65" i="140"/>
  <c r="AE65" i="140"/>
  <c r="AF19" i="140"/>
  <c r="AE19" i="140"/>
  <c r="N19" i="140"/>
  <c r="N28" i="140"/>
  <c r="AF28" i="140"/>
  <c r="AE28" i="140"/>
  <c r="AE32" i="140"/>
  <c r="M40" i="140"/>
  <c r="AF32" i="140"/>
  <c r="N32" i="140"/>
  <c r="AF34" i="140"/>
  <c r="AE34" i="140"/>
  <c r="N34" i="140"/>
  <c r="Q41" i="140"/>
  <c r="P41" i="140"/>
  <c r="N50" i="140"/>
  <c r="M53" i="140"/>
  <c r="AF50" i="140"/>
  <c r="AE50" i="140"/>
  <c r="F2" i="140"/>
  <c r="I3" i="139"/>
  <c r="AF36" i="140"/>
  <c r="AE36" i="140"/>
  <c r="N36" i="140"/>
  <c r="AF38" i="140"/>
  <c r="AE38" i="140"/>
  <c r="N38" i="140"/>
  <c r="P47" i="140"/>
  <c r="Q47" i="140"/>
  <c r="N63" i="140"/>
  <c r="AF63" i="140"/>
  <c r="AE63" i="140"/>
  <c r="N70" i="140"/>
  <c r="AF70" i="140"/>
  <c r="AE70" i="140"/>
  <c r="N21" i="140"/>
  <c r="N39" i="140"/>
  <c r="N42" i="140"/>
  <c r="N60" i="140"/>
  <c r="N17" i="140"/>
  <c r="N20" i="140"/>
  <c r="AE27" i="140"/>
  <c r="N59" i="140"/>
  <c r="M9" i="140"/>
  <c r="AF27" i="140"/>
  <c r="N58" i="140"/>
  <c r="AE47" i="140"/>
  <c r="N57" i="140"/>
  <c r="AE23" i="140"/>
  <c r="N74" i="140"/>
  <c r="AF23" i="140"/>
  <c r="M49" i="140"/>
  <c r="AE21" i="140"/>
  <c r="AE39" i="140"/>
  <c r="AE42" i="140"/>
  <c r="AE60" i="140"/>
  <c r="AE20" i="140"/>
  <c r="M24" i="140"/>
  <c r="AE59" i="140"/>
  <c r="P71" i="140"/>
  <c r="P73" i="140"/>
  <c r="AE58" i="140"/>
  <c r="AE17" i="140"/>
  <c r="AE57" i="140"/>
  <c r="AD66" i="136"/>
  <c r="Z66" i="136"/>
  <c r="Y66" i="136"/>
  <c r="O66" i="136"/>
  <c r="K66" i="136"/>
  <c r="V65" i="136"/>
  <c r="U65" i="136"/>
  <c r="O65" i="136"/>
  <c r="M65" i="136"/>
  <c r="K65" i="136"/>
  <c r="G65" i="136"/>
  <c r="AF64" i="136"/>
  <c r="AE64" i="136"/>
  <c r="V64" i="136"/>
  <c r="U64" i="136"/>
  <c r="O64" i="136"/>
  <c r="N64" i="136"/>
  <c r="P64" i="136" s="1"/>
  <c r="M64" i="136"/>
  <c r="K64" i="136"/>
  <c r="G64" i="136"/>
  <c r="AF63" i="136"/>
  <c r="AE63" i="136"/>
  <c r="V63" i="136"/>
  <c r="U63" i="136"/>
  <c r="Q63" i="136"/>
  <c r="P63" i="136"/>
  <c r="O63" i="136"/>
  <c r="N63" i="136"/>
  <c r="M63" i="136"/>
  <c r="K63" i="136"/>
  <c r="G63" i="136"/>
  <c r="AF62" i="136"/>
  <c r="AE62" i="136"/>
  <c r="V62" i="136"/>
  <c r="U62" i="136"/>
  <c r="O62" i="136"/>
  <c r="N62" i="136"/>
  <c r="M62" i="136"/>
  <c r="K62" i="136"/>
  <c r="G62" i="136"/>
  <c r="AF61" i="136"/>
  <c r="AE61" i="136"/>
  <c r="X61" i="136"/>
  <c r="W61" i="136"/>
  <c r="V61" i="136"/>
  <c r="P61" i="136"/>
  <c r="O61" i="136"/>
  <c r="N61" i="136"/>
  <c r="Q61" i="136" s="1"/>
  <c r="M61" i="136"/>
  <c r="K61" i="136"/>
  <c r="G61" i="136"/>
  <c r="AD60" i="136"/>
  <c r="Z60" i="136"/>
  <c r="Y60" i="136"/>
  <c r="O60" i="136"/>
  <c r="M60" i="136"/>
  <c r="K60" i="136"/>
  <c r="AF59" i="136"/>
  <c r="AE59" i="136"/>
  <c r="V59" i="136"/>
  <c r="U59" i="136"/>
  <c r="O59" i="136"/>
  <c r="N59" i="136"/>
  <c r="Q59" i="136" s="1"/>
  <c r="M59" i="136"/>
  <c r="K59" i="136"/>
  <c r="G59" i="136"/>
  <c r="AE58" i="136"/>
  <c r="V58" i="136"/>
  <c r="U58" i="136"/>
  <c r="Q58" i="136"/>
  <c r="P58" i="136"/>
  <c r="O58" i="136"/>
  <c r="N58" i="136"/>
  <c r="M58" i="136"/>
  <c r="AF58" i="136" s="1"/>
  <c r="K58" i="136"/>
  <c r="G58" i="136"/>
  <c r="AF57" i="136"/>
  <c r="AE57" i="136"/>
  <c r="V57" i="136"/>
  <c r="U57" i="136"/>
  <c r="O57" i="136"/>
  <c r="N57" i="136"/>
  <c r="P57" i="136" s="1"/>
  <c r="M57" i="136"/>
  <c r="K57" i="136"/>
  <c r="G57" i="136"/>
  <c r="AF56" i="136"/>
  <c r="AE56" i="136"/>
  <c r="V56" i="136"/>
  <c r="Q56" i="136"/>
  <c r="P56" i="136"/>
  <c r="O56" i="136"/>
  <c r="M56" i="136"/>
  <c r="N56" i="136" s="1"/>
  <c r="K56" i="136"/>
  <c r="G56" i="136"/>
  <c r="AD55" i="136"/>
  <c r="Z55" i="136"/>
  <c r="Y55" i="136"/>
  <c r="O55" i="136"/>
  <c r="K55" i="136"/>
  <c r="V54" i="136"/>
  <c r="M54" i="136" s="1"/>
  <c r="N54" i="136" s="1"/>
  <c r="U54" i="136"/>
  <c r="O54" i="136"/>
  <c r="K54" i="136"/>
  <c r="G54" i="136"/>
  <c r="AF53" i="136"/>
  <c r="AE53" i="136"/>
  <c r="V53" i="136"/>
  <c r="U53" i="136"/>
  <c r="O53" i="136"/>
  <c r="N53" i="136"/>
  <c r="Q53" i="136" s="1"/>
  <c r="M53" i="136"/>
  <c r="K53" i="136"/>
  <c r="G53" i="136"/>
  <c r="AF52" i="136"/>
  <c r="AE52" i="136"/>
  <c r="V52" i="136"/>
  <c r="U52" i="136"/>
  <c r="P52" i="136"/>
  <c r="O52" i="136"/>
  <c r="N52" i="136"/>
  <c r="Q52" i="136" s="1"/>
  <c r="M52" i="136"/>
  <c r="K52" i="136"/>
  <c r="G52" i="136"/>
  <c r="V51" i="136"/>
  <c r="U51" i="136"/>
  <c r="Q51" i="136"/>
  <c r="O51" i="136"/>
  <c r="N51" i="136"/>
  <c r="P51" i="136" s="1"/>
  <c r="M51" i="136"/>
  <c r="K51" i="136"/>
  <c r="G51" i="136"/>
  <c r="AF50" i="136"/>
  <c r="AE50" i="136"/>
  <c r="V50" i="136"/>
  <c r="U50" i="136"/>
  <c r="O50" i="136"/>
  <c r="N50" i="136"/>
  <c r="Q50" i="136" s="1"/>
  <c r="M50" i="136"/>
  <c r="K50" i="136"/>
  <c r="G50" i="136"/>
  <c r="AE49" i="136"/>
  <c r="V49" i="136"/>
  <c r="U49" i="136"/>
  <c r="O49" i="136"/>
  <c r="M49" i="136"/>
  <c r="AF49" i="136" s="1"/>
  <c r="K49" i="136"/>
  <c r="G49" i="136"/>
  <c r="AF48" i="136"/>
  <c r="AE48" i="136"/>
  <c r="X48" i="136"/>
  <c r="W48" i="136"/>
  <c r="V48" i="136"/>
  <c r="O48" i="136"/>
  <c r="N48" i="136"/>
  <c r="M48" i="136"/>
  <c r="K48" i="136"/>
  <c r="G48" i="136"/>
  <c r="AD47" i="136"/>
  <c r="H21" i="135" s="1"/>
  <c r="Z47" i="136"/>
  <c r="H19" i="135" s="1"/>
  <c r="Y47" i="136"/>
  <c r="O47" i="136"/>
  <c r="K47" i="136"/>
  <c r="AF46" i="136"/>
  <c r="AE46" i="136"/>
  <c r="V46" i="136"/>
  <c r="U46" i="136"/>
  <c r="O46" i="136"/>
  <c r="N46" i="136"/>
  <c r="Q46" i="136" s="1"/>
  <c r="M46" i="136"/>
  <c r="K46" i="136"/>
  <c r="G46" i="136"/>
  <c r="AF45" i="136"/>
  <c r="AE45" i="136"/>
  <c r="V45" i="136"/>
  <c r="U45" i="136"/>
  <c r="P45" i="136"/>
  <c r="O45" i="136"/>
  <c r="N45" i="136"/>
  <c r="Q45" i="136" s="1"/>
  <c r="M45" i="136"/>
  <c r="K45" i="136"/>
  <c r="G45" i="136"/>
  <c r="V44" i="136"/>
  <c r="O44" i="136"/>
  <c r="M44" i="136"/>
  <c r="K44" i="136"/>
  <c r="G44" i="136"/>
  <c r="AD43" i="136"/>
  <c r="Z43" i="136"/>
  <c r="Y43" i="136"/>
  <c r="O43" i="136"/>
  <c r="K43" i="136"/>
  <c r="AF42" i="136"/>
  <c r="AE42" i="136"/>
  <c r="V42" i="136"/>
  <c r="U42" i="136"/>
  <c r="O42" i="136"/>
  <c r="N42" i="136"/>
  <c r="Q42" i="136" s="1"/>
  <c r="M42" i="136"/>
  <c r="K42" i="136"/>
  <c r="G42" i="136"/>
  <c r="V41" i="136"/>
  <c r="U41" i="136"/>
  <c r="O41" i="136"/>
  <c r="M41" i="136"/>
  <c r="K41" i="136"/>
  <c r="G41" i="136"/>
  <c r="X40" i="136"/>
  <c r="W40" i="136"/>
  <c r="V40" i="136"/>
  <c r="M40" i="136" s="1"/>
  <c r="N40" i="136" s="1"/>
  <c r="U40" i="136"/>
  <c r="O40" i="136"/>
  <c r="K40" i="136"/>
  <c r="G40" i="136"/>
  <c r="AF39" i="136"/>
  <c r="AE39" i="136"/>
  <c r="V39" i="136"/>
  <c r="U39" i="136"/>
  <c r="O39" i="136"/>
  <c r="N39" i="136"/>
  <c r="Q39" i="136" s="1"/>
  <c r="M39" i="136"/>
  <c r="K39" i="136"/>
  <c r="G39" i="136"/>
  <c r="AF38" i="136"/>
  <c r="AE38" i="136"/>
  <c r="V38" i="136"/>
  <c r="U38" i="136"/>
  <c r="P38" i="136"/>
  <c r="O38" i="136"/>
  <c r="N38" i="136"/>
  <c r="Q38" i="136" s="1"/>
  <c r="M38" i="136"/>
  <c r="K38" i="136"/>
  <c r="G38" i="136"/>
  <c r="V37" i="136"/>
  <c r="U37" i="136"/>
  <c r="O37" i="136"/>
  <c r="M37" i="136"/>
  <c r="K37" i="136"/>
  <c r="G37" i="136"/>
  <c r="X36" i="136"/>
  <c r="W36" i="136"/>
  <c r="V36" i="136"/>
  <c r="O36" i="136"/>
  <c r="M36" i="136"/>
  <c r="K36" i="136"/>
  <c r="G36" i="136"/>
  <c r="AD35" i="136"/>
  <c r="Z35" i="136"/>
  <c r="Y35" i="136"/>
  <c r="K18" i="135" s="1"/>
  <c r="O35" i="136"/>
  <c r="K35" i="136"/>
  <c r="AF34" i="136"/>
  <c r="AE34" i="136"/>
  <c r="V34" i="136"/>
  <c r="U34" i="136"/>
  <c r="O34" i="136"/>
  <c r="N34" i="136"/>
  <c r="M34" i="136"/>
  <c r="K34" i="136"/>
  <c r="G34" i="136"/>
  <c r="AF33" i="136"/>
  <c r="AE33" i="136"/>
  <c r="X33" i="136"/>
  <c r="W33" i="136"/>
  <c r="V33" i="136"/>
  <c r="U33" i="136"/>
  <c r="P33" i="136"/>
  <c r="O33" i="136"/>
  <c r="N33" i="136"/>
  <c r="Q33" i="136" s="1"/>
  <c r="M33" i="136"/>
  <c r="K33" i="136"/>
  <c r="G33" i="136"/>
  <c r="V32" i="136"/>
  <c r="U32" i="136"/>
  <c r="O32" i="136"/>
  <c r="M32" i="136"/>
  <c r="K32" i="136"/>
  <c r="G32" i="136"/>
  <c r="AF31" i="136"/>
  <c r="AE31" i="136"/>
  <c r="V31" i="136"/>
  <c r="U31" i="136"/>
  <c r="O31" i="136"/>
  <c r="N31" i="136"/>
  <c r="Q31" i="136" s="1"/>
  <c r="M31" i="136"/>
  <c r="K31" i="136"/>
  <c r="G31" i="136"/>
  <c r="V30" i="136"/>
  <c r="U30" i="136"/>
  <c r="O30" i="136"/>
  <c r="M30" i="136"/>
  <c r="M35" i="136" s="1"/>
  <c r="N35" i="136" s="1"/>
  <c r="K30" i="136"/>
  <c r="G30" i="136"/>
  <c r="AF29" i="136"/>
  <c r="AE29" i="136"/>
  <c r="X29" i="136"/>
  <c r="W29" i="136"/>
  <c r="V29" i="136"/>
  <c r="O29" i="136"/>
  <c r="N29" i="136"/>
  <c r="M29" i="136"/>
  <c r="K29" i="136"/>
  <c r="G29" i="136"/>
  <c r="AD28" i="136"/>
  <c r="Z28" i="136"/>
  <c r="Y28" i="136"/>
  <c r="O28" i="136"/>
  <c r="K28" i="136"/>
  <c r="AF27" i="136"/>
  <c r="AE27" i="136"/>
  <c r="V27" i="136"/>
  <c r="U27" i="136"/>
  <c r="Q27" i="136"/>
  <c r="O27" i="136"/>
  <c r="N27" i="136"/>
  <c r="P27" i="136" s="1"/>
  <c r="M27" i="136"/>
  <c r="K27" i="136"/>
  <c r="G27" i="136"/>
  <c r="AF26" i="136"/>
  <c r="AE26" i="136"/>
  <c r="V26" i="136"/>
  <c r="U26" i="136"/>
  <c r="P26" i="136"/>
  <c r="O26" i="136"/>
  <c r="N26" i="136"/>
  <c r="Q26" i="136" s="1"/>
  <c r="M26" i="136"/>
  <c r="K26" i="136"/>
  <c r="G26" i="136"/>
  <c r="V25" i="136"/>
  <c r="U25" i="136"/>
  <c r="O25" i="136"/>
  <c r="M25" i="136"/>
  <c r="K25" i="136"/>
  <c r="G25" i="136"/>
  <c r="AF24" i="136"/>
  <c r="AE24" i="136"/>
  <c r="V24" i="136"/>
  <c r="U24" i="136"/>
  <c r="O24" i="136"/>
  <c r="N24" i="136"/>
  <c r="Q24" i="136" s="1"/>
  <c r="M24" i="136"/>
  <c r="K24" i="136"/>
  <c r="G24" i="136"/>
  <c r="AF23" i="136"/>
  <c r="AE23" i="136"/>
  <c r="V23" i="136"/>
  <c r="U23" i="136"/>
  <c r="O23" i="136"/>
  <c r="M23" i="136"/>
  <c r="N23" i="136" s="1"/>
  <c r="K23" i="136"/>
  <c r="G23" i="136"/>
  <c r="V22" i="136"/>
  <c r="O22" i="136"/>
  <c r="M22" i="136"/>
  <c r="K22" i="136"/>
  <c r="G22" i="136"/>
  <c r="AD21" i="136"/>
  <c r="Z21" i="136"/>
  <c r="Z2" i="136" s="1"/>
  <c r="L6" i="135" s="1"/>
  <c r="Y21" i="136"/>
  <c r="F18" i="135" s="1"/>
  <c r="O21" i="136"/>
  <c r="K21" i="136"/>
  <c r="AF20" i="136"/>
  <c r="AE20" i="136"/>
  <c r="V20" i="136"/>
  <c r="U20" i="136"/>
  <c r="O20" i="136"/>
  <c r="N20" i="136"/>
  <c r="M20" i="136"/>
  <c r="K20" i="136"/>
  <c r="G20" i="136"/>
  <c r="V19" i="136"/>
  <c r="M19" i="136" s="1"/>
  <c r="N19" i="136" s="1"/>
  <c r="U19" i="136"/>
  <c r="O19" i="136"/>
  <c r="K19" i="136"/>
  <c r="G19" i="136"/>
  <c r="AF18" i="136"/>
  <c r="AE18" i="136"/>
  <c r="V18" i="136"/>
  <c r="U18" i="136"/>
  <c r="Q18" i="136"/>
  <c r="P18" i="136"/>
  <c r="O18" i="136"/>
  <c r="N18" i="136"/>
  <c r="M18" i="136"/>
  <c r="K18" i="136"/>
  <c r="G18" i="136"/>
  <c r="AF17" i="136"/>
  <c r="AE17" i="136"/>
  <c r="V17" i="136"/>
  <c r="U17" i="136"/>
  <c r="P17" i="136"/>
  <c r="O17" i="136"/>
  <c r="N17" i="136"/>
  <c r="Q17" i="136" s="1"/>
  <c r="M17" i="136"/>
  <c r="K17" i="136"/>
  <c r="G17" i="136"/>
  <c r="V16" i="136"/>
  <c r="U16" i="136"/>
  <c r="O16" i="136"/>
  <c r="M16" i="136"/>
  <c r="K16" i="136"/>
  <c r="G16" i="136"/>
  <c r="AF15" i="136"/>
  <c r="AE15" i="136"/>
  <c r="V15" i="136"/>
  <c r="U15" i="136"/>
  <c r="O15" i="136"/>
  <c r="N15" i="136"/>
  <c r="Q15" i="136" s="1"/>
  <c r="M15" i="136"/>
  <c r="K15" i="136"/>
  <c r="G15" i="136"/>
  <c r="X14" i="136"/>
  <c r="W14" i="136"/>
  <c r="V14" i="136"/>
  <c r="M14" i="136" s="1"/>
  <c r="AF14" i="136" s="1"/>
  <c r="O14" i="136"/>
  <c r="K14" i="136"/>
  <c r="G14" i="136"/>
  <c r="AD13" i="136"/>
  <c r="Z13" i="136"/>
  <c r="Y13" i="136"/>
  <c r="O13" i="136"/>
  <c r="K13" i="136"/>
  <c r="V12" i="136"/>
  <c r="M12" i="136" s="1"/>
  <c r="N12" i="136" s="1"/>
  <c r="U12" i="136"/>
  <c r="O12" i="136"/>
  <c r="K12" i="136"/>
  <c r="G12" i="136"/>
  <c r="X11" i="136"/>
  <c r="W11" i="136"/>
  <c r="V11" i="136"/>
  <c r="U11" i="136"/>
  <c r="O11" i="136"/>
  <c r="M11" i="136"/>
  <c r="K11" i="136"/>
  <c r="G11" i="136"/>
  <c r="AF10" i="136"/>
  <c r="AE10" i="136"/>
  <c r="V10" i="136"/>
  <c r="U10" i="136"/>
  <c r="O10" i="136"/>
  <c r="N10" i="136"/>
  <c r="Q10" i="136" s="1"/>
  <c r="M10" i="136"/>
  <c r="K10" i="136"/>
  <c r="G10" i="136"/>
  <c r="X9" i="136"/>
  <c r="W9" i="136"/>
  <c r="V9" i="136"/>
  <c r="M9" i="136" s="1"/>
  <c r="N9" i="136" s="1"/>
  <c r="Q9" i="136"/>
  <c r="P9" i="136"/>
  <c r="O9" i="136"/>
  <c r="K9" i="136"/>
  <c r="G9" i="136"/>
  <c r="AD8" i="136"/>
  <c r="Z8" i="136"/>
  <c r="Y8" i="136"/>
  <c r="O8" i="136"/>
  <c r="M8" i="136"/>
  <c r="K8" i="136"/>
  <c r="V7" i="136"/>
  <c r="M7" i="136" s="1"/>
  <c r="N7" i="136" s="1"/>
  <c r="U7" i="136"/>
  <c r="O7" i="136"/>
  <c r="K7" i="136"/>
  <c r="G7" i="136"/>
  <c r="AF6" i="136"/>
  <c r="AE6" i="136"/>
  <c r="V6" i="136"/>
  <c r="U6" i="136"/>
  <c r="O6" i="136"/>
  <c r="N6" i="136"/>
  <c r="Q6" i="136" s="1"/>
  <c r="M6" i="136"/>
  <c r="K6" i="136"/>
  <c r="G6" i="136"/>
  <c r="F1" i="136" s="1"/>
  <c r="AF5" i="136"/>
  <c r="AE5" i="136"/>
  <c r="V5" i="136"/>
  <c r="O5" i="136"/>
  <c r="N5" i="136"/>
  <c r="Q5" i="136" s="1"/>
  <c r="M5" i="136"/>
  <c r="K5" i="136"/>
  <c r="G5" i="136"/>
  <c r="H2" i="136"/>
  <c r="H1" i="136"/>
  <c r="D1" i="136"/>
  <c r="F3" i="135" s="1"/>
  <c r="M22" i="135"/>
  <c r="L22" i="135"/>
  <c r="K22" i="135"/>
  <c r="J22" i="135"/>
  <c r="I22" i="135"/>
  <c r="H22" i="135"/>
  <c r="G22" i="135"/>
  <c r="F22" i="135"/>
  <c r="E22" i="135"/>
  <c r="D22" i="135"/>
  <c r="M21" i="135"/>
  <c r="L21" i="135"/>
  <c r="K21" i="135"/>
  <c r="J21" i="135"/>
  <c r="I21" i="135"/>
  <c r="G21" i="135"/>
  <c r="F21" i="135"/>
  <c r="E21" i="135"/>
  <c r="D21" i="135"/>
  <c r="M20" i="135"/>
  <c r="L20" i="135"/>
  <c r="K20" i="135"/>
  <c r="J20" i="135"/>
  <c r="I20" i="135"/>
  <c r="H20" i="135"/>
  <c r="G20" i="135"/>
  <c r="F20" i="135"/>
  <c r="E20" i="135"/>
  <c r="D20" i="135"/>
  <c r="M19" i="135"/>
  <c r="L19" i="135"/>
  <c r="K19" i="135"/>
  <c r="J19" i="135"/>
  <c r="I19" i="135"/>
  <c r="G19" i="135"/>
  <c r="E19" i="135"/>
  <c r="D19" i="135"/>
  <c r="M18" i="135"/>
  <c r="L18" i="135"/>
  <c r="J18" i="135"/>
  <c r="I18" i="135"/>
  <c r="H18" i="135"/>
  <c r="G18" i="135"/>
  <c r="E18" i="135"/>
  <c r="D18" i="135"/>
  <c r="M17" i="135"/>
  <c r="L17" i="135"/>
  <c r="K17" i="135"/>
  <c r="J17" i="135"/>
  <c r="I17" i="135"/>
  <c r="H17" i="135"/>
  <c r="G17" i="135"/>
  <c r="F17" i="135"/>
  <c r="E17" i="135"/>
  <c r="D17" i="135"/>
  <c r="M16" i="135"/>
  <c r="L16" i="135"/>
  <c r="K16" i="135"/>
  <c r="J16" i="135"/>
  <c r="I16" i="135"/>
  <c r="H16" i="135"/>
  <c r="G16" i="135"/>
  <c r="F16" i="135"/>
  <c r="E16" i="135"/>
  <c r="D16" i="135"/>
  <c r="M13" i="135"/>
  <c r="L13" i="135"/>
  <c r="K13" i="135"/>
  <c r="J13" i="135"/>
  <c r="I13" i="135"/>
  <c r="H13" i="135"/>
  <c r="G13" i="135"/>
  <c r="F13" i="135"/>
  <c r="E6" i="135" s="1"/>
  <c r="E13" i="135"/>
  <c r="D13" i="135"/>
  <c r="M6" i="135"/>
  <c r="I6" i="135"/>
  <c r="C3" i="135"/>
  <c r="K15" i="143" l="1"/>
  <c r="I8" i="143" s="1"/>
  <c r="I7" i="143"/>
  <c r="F7" i="143"/>
  <c r="D15" i="143"/>
  <c r="G7" i="143"/>
  <c r="E7" i="143"/>
  <c r="P39" i="142"/>
  <c r="Q39" i="142"/>
  <c r="R31" i="142" s="1"/>
  <c r="K14" i="141"/>
  <c r="P59" i="142"/>
  <c r="Q59" i="142"/>
  <c r="R52" i="142" s="1"/>
  <c r="I14" i="141"/>
  <c r="I15" i="141" s="1"/>
  <c r="G14" i="141"/>
  <c r="G15" i="141" s="1"/>
  <c r="Q30" i="142"/>
  <c r="R24" i="142" s="1"/>
  <c r="P30" i="142"/>
  <c r="Q9" i="142"/>
  <c r="R5" i="142" s="1"/>
  <c r="D2" i="142"/>
  <c r="P9" i="142"/>
  <c r="D14" i="141"/>
  <c r="Q38" i="140"/>
  <c r="P38" i="140"/>
  <c r="Q22" i="140"/>
  <c r="P22" i="140"/>
  <c r="Q63" i="140"/>
  <c r="P63" i="140"/>
  <c r="Q12" i="140"/>
  <c r="P12" i="140"/>
  <c r="N66" i="140"/>
  <c r="AF66" i="140"/>
  <c r="AG62" i="140" s="1"/>
  <c r="AE66" i="140"/>
  <c r="Q20" i="140"/>
  <c r="P20" i="140"/>
  <c r="AE53" i="140"/>
  <c r="N53" i="140"/>
  <c r="AF53" i="140"/>
  <c r="AG50" i="140" s="1"/>
  <c r="Q14" i="140"/>
  <c r="P14" i="140"/>
  <c r="Q62" i="140"/>
  <c r="P62" i="140"/>
  <c r="Q35" i="140"/>
  <c r="P35" i="140"/>
  <c r="Q74" i="140"/>
  <c r="P74" i="140"/>
  <c r="N49" i="140"/>
  <c r="AF49" i="140"/>
  <c r="AG41" i="140" s="1"/>
  <c r="AE49" i="140"/>
  <c r="Q17" i="140"/>
  <c r="P17" i="140"/>
  <c r="Q50" i="140"/>
  <c r="P50" i="140"/>
  <c r="Q28" i="140"/>
  <c r="P28" i="140"/>
  <c r="P68" i="140"/>
  <c r="Q68" i="140"/>
  <c r="Q60" i="140"/>
  <c r="P60" i="140"/>
  <c r="Q39" i="140"/>
  <c r="P39" i="140"/>
  <c r="Q34" i="140"/>
  <c r="P34" i="140"/>
  <c r="Q33" i="140"/>
  <c r="P33" i="140"/>
  <c r="Q69" i="140"/>
  <c r="P69" i="140"/>
  <c r="Q54" i="140"/>
  <c r="P54" i="140"/>
  <c r="P26" i="140"/>
  <c r="Q26" i="140"/>
  <c r="P48" i="140"/>
  <c r="Q48" i="140"/>
  <c r="Q57" i="140"/>
  <c r="P57" i="140"/>
  <c r="Q21" i="140"/>
  <c r="P21" i="140"/>
  <c r="Q36" i="140"/>
  <c r="P36" i="140"/>
  <c r="AF75" i="140"/>
  <c r="AG67" i="140" s="1"/>
  <c r="AE75" i="140"/>
  <c r="N75" i="140"/>
  <c r="Q7" i="140"/>
  <c r="P7" i="140"/>
  <c r="N61" i="140"/>
  <c r="AF61" i="140"/>
  <c r="AG54" i="140" s="1"/>
  <c r="AE61" i="140"/>
  <c r="AF31" i="140"/>
  <c r="AG25" i="140" s="1"/>
  <c r="AE31" i="140"/>
  <c r="N31" i="140"/>
  <c r="Q18" i="140"/>
  <c r="P18" i="140"/>
  <c r="Q43" i="140"/>
  <c r="P43" i="140"/>
  <c r="AF16" i="140"/>
  <c r="AG10" i="140" s="1"/>
  <c r="AE16" i="140"/>
  <c r="N16" i="140"/>
  <c r="N24" i="140"/>
  <c r="AF24" i="140"/>
  <c r="AG17" i="140" s="1"/>
  <c r="AE24" i="140"/>
  <c r="Q58" i="140"/>
  <c r="P58" i="140"/>
  <c r="Q32" i="140"/>
  <c r="P32" i="140"/>
  <c r="P65" i="140"/>
  <c r="Q65" i="140"/>
  <c r="P64" i="140"/>
  <c r="Q64" i="140"/>
  <c r="Q72" i="140"/>
  <c r="P72" i="140"/>
  <c r="Q42" i="140"/>
  <c r="P42" i="140"/>
  <c r="Q70" i="140"/>
  <c r="P70" i="140"/>
  <c r="Q67" i="140"/>
  <c r="P67" i="140"/>
  <c r="Q15" i="140"/>
  <c r="P15" i="140"/>
  <c r="Q10" i="140"/>
  <c r="P10" i="140"/>
  <c r="Q19" i="140"/>
  <c r="P19" i="140"/>
  <c r="AE9" i="140"/>
  <c r="N9" i="140"/>
  <c r="AF9" i="140"/>
  <c r="AG5" i="140" s="1"/>
  <c r="N40" i="140"/>
  <c r="AF40" i="140"/>
  <c r="AG32" i="140" s="1"/>
  <c r="AE40" i="140"/>
  <c r="P25" i="140"/>
  <c r="Q25" i="140"/>
  <c r="Q37" i="140"/>
  <c r="P37" i="140"/>
  <c r="Q30" i="140"/>
  <c r="P30" i="140"/>
  <c r="Q59" i="140"/>
  <c r="P59" i="140"/>
  <c r="Q51" i="140"/>
  <c r="P51" i="140"/>
  <c r="P23" i="136"/>
  <c r="Q23" i="136"/>
  <c r="I3" i="135"/>
  <c r="F2" i="136"/>
  <c r="AF40" i="136"/>
  <c r="AE12" i="136"/>
  <c r="AF8" i="136"/>
  <c r="AG5" i="136" s="1"/>
  <c r="AE8" i="136"/>
  <c r="N14" i="136"/>
  <c r="M21" i="136"/>
  <c r="Q40" i="136"/>
  <c r="P40" i="136"/>
  <c r="N8" i="136"/>
  <c r="AF36" i="136"/>
  <c r="AE36" i="136"/>
  <c r="M43" i="136"/>
  <c r="N36" i="136"/>
  <c r="Q12" i="136"/>
  <c r="P12" i="136"/>
  <c r="AE14" i="136"/>
  <c r="P35" i="136"/>
  <c r="K14" i="135"/>
  <c r="AF32" i="136"/>
  <c r="AE32" i="136"/>
  <c r="AE40" i="136"/>
  <c r="N30" i="136"/>
  <c r="N32" i="136"/>
  <c r="AF12" i="136"/>
  <c r="Q34" i="136"/>
  <c r="P34" i="136"/>
  <c r="F19" i="135"/>
  <c r="P6" i="136"/>
  <c r="AD2" i="136"/>
  <c r="N6" i="135" s="1"/>
  <c r="Q54" i="136"/>
  <c r="P54" i="136"/>
  <c r="M13" i="136"/>
  <c r="AF41" i="136"/>
  <c r="N41" i="136"/>
  <c r="AE41" i="136"/>
  <c r="Q48" i="136"/>
  <c r="P48" i="136"/>
  <c r="AE54" i="136"/>
  <c r="M66" i="136"/>
  <c r="AF65" i="136"/>
  <c r="AF37" i="136"/>
  <c r="AE37" i="136"/>
  <c r="F6" i="135"/>
  <c r="P46" i="136"/>
  <c r="G6" i="135"/>
  <c r="Q35" i="136"/>
  <c r="R29" i="136" s="1"/>
  <c r="Q29" i="136"/>
  <c r="P29" i="136"/>
  <c r="AE65" i="136"/>
  <c r="Q20" i="136"/>
  <c r="P20" i="136"/>
  <c r="AF51" i="136"/>
  <c r="AE51" i="136"/>
  <c r="AF54" i="136"/>
  <c r="N65" i="136"/>
  <c r="Q19" i="136"/>
  <c r="P19" i="136"/>
  <c r="N37" i="136"/>
  <c r="AF44" i="136"/>
  <c r="M47" i="136"/>
  <c r="Y2" i="136"/>
  <c r="K6" i="135" s="1"/>
  <c r="AE11" i="136"/>
  <c r="AF11" i="136"/>
  <c r="AE19" i="136"/>
  <c r="AE30" i="136"/>
  <c r="P39" i="136"/>
  <c r="N44" i="136"/>
  <c r="M55" i="136"/>
  <c r="N11" i="136"/>
  <c r="AF19" i="136"/>
  <c r="AF22" i="136"/>
  <c r="AE22" i="136"/>
  <c r="M28" i="136"/>
  <c r="N22" i="136"/>
  <c r="AF30" i="136"/>
  <c r="Q7" i="136"/>
  <c r="P7" i="136"/>
  <c r="AE9" i="136"/>
  <c r="AF25" i="136"/>
  <c r="AE25" i="136"/>
  <c r="P42" i="136"/>
  <c r="AE44" i="136"/>
  <c r="AE60" i="136"/>
  <c r="AF60" i="136"/>
  <c r="AG56" i="136" s="1"/>
  <c r="AE7" i="136"/>
  <c r="AF9" i="136"/>
  <c r="AE16" i="136"/>
  <c r="AF16" i="136"/>
  <c r="N25" i="136"/>
  <c r="AE35" i="136"/>
  <c r="N49" i="136"/>
  <c r="P53" i="136"/>
  <c r="N60" i="136"/>
  <c r="AF7" i="136"/>
  <c r="N16" i="136"/>
  <c r="AF35" i="136"/>
  <c r="AG29" i="136" s="1"/>
  <c r="Q62" i="136"/>
  <c r="P62" i="136"/>
  <c r="Q57" i="136"/>
  <c r="Q64" i="136"/>
  <c r="P10" i="136"/>
  <c r="P15" i="136"/>
  <c r="P24" i="136"/>
  <c r="P31" i="136"/>
  <c r="P50" i="136"/>
  <c r="P59" i="136"/>
  <c r="P5" i="136"/>
  <c r="AD64" i="134"/>
  <c r="Z64" i="134"/>
  <c r="Y64" i="134"/>
  <c r="M18" i="133" s="1"/>
  <c r="O64" i="134"/>
  <c r="M64" i="134"/>
  <c r="N64" i="134" s="1"/>
  <c r="K64" i="134"/>
  <c r="V63" i="134"/>
  <c r="U63" i="134"/>
  <c r="O63" i="134"/>
  <c r="N63" i="134"/>
  <c r="M63" i="134"/>
  <c r="K63" i="134"/>
  <c r="G63" i="134"/>
  <c r="AF62" i="134"/>
  <c r="V62" i="134"/>
  <c r="U62" i="134"/>
  <c r="O62" i="134"/>
  <c r="N62" i="134"/>
  <c r="M62" i="134"/>
  <c r="AE62" i="134" s="1"/>
  <c r="K62" i="134"/>
  <c r="G62" i="134"/>
  <c r="AF61" i="134"/>
  <c r="AE61" i="134"/>
  <c r="V61" i="134"/>
  <c r="U61" i="134"/>
  <c r="O61" i="134"/>
  <c r="M61" i="134"/>
  <c r="N61" i="134" s="1"/>
  <c r="K61" i="134"/>
  <c r="G61" i="134"/>
  <c r="AF60" i="134"/>
  <c r="AE60" i="134"/>
  <c r="V60" i="134"/>
  <c r="M60" i="134" s="1"/>
  <c r="N60" i="134" s="1"/>
  <c r="U60" i="134"/>
  <c r="O60" i="134"/>
  <c r="K60" i="134"/>
  <c r="G60" i="134"/>
  <c r="AF59" i="134"/>
  <c r="AE59" i="134"/>
  <c r="X59" i="134"/>
  <c r="W59" i="134"/>
  <c r="V59" i="134"/>
  <c r="O59" i="134"/>
  <c r="N59" i="134"/>
  <c r="M59" i="134"/>
  <c r="K59" i="134"/>
  <c r="G59" i="134"/>
  <c r="AF58" i="134"/>
  <c r="AE58" i="134"/>
  <c r="AD58" i="134"/>
  <c r="J21" i="133" s="1"/>
  <c r="Z58" i="134"/>
  <c r="Y58" i="134"/>
  <c r="O58" i="134"/>
  <c r="N58" i="134"/>
  <c r="J14" i="133" s="1"/>
  <c r="J15" i="133" s="1"/>
  <c r="M58" i="134"/>
  <c r="K58" i="134"/>
  <c r="AF57" i="134"/>
  <c r="AE57" i="134"/>
  <c r="V57" i="134"/>
  <c r="M57" i="134" s="1"/>
  <c r="N57" i="134" s="1"/>
  <c r="U57" i="134"/>
  <c r="O57" i="134"/>
  <c r="K57" i="134"/>
  <c r="G57" i="134"/>
  <c r="AF56" i="134"/>
  <c r="AE56" i="134"/>
  <c r="V56" i="134"/>
  <c r="M56" i="134" s="1"/>
  <c r="N56" i="134" s="1"/>
  <c r="U56" i="134"/>
  <c r="O56" i="134"/>
  <c r="K56" i="134"/>
  <c r="G56" i="134"/>
  <c r="AF55" i="134"/>
  <c r="AE55" i="134"/>
  <c r="V55" i="134"/>
  <c r="M55" i="134" s="1"/>
  <c r="N55" i="134" s="1"/>
  <c r="P55" i="134" s="1"/>
  <c r="U55" i="134"/>
  <c r="Q55" i="134"/>
  <c r="O55" i="134"/>
  <c r="K55" i="134"/>
  <c r="G55" i="134"/>
  <c r="AG54" i="134"/>
  <c r="AF54" i="134"/>
  <c r="AE54" i="134"/>
  <c r="V54" i="134"/>
  <c r="M54" i="134" s="1"/>
  <c r="N54" i="134" s="1"/>
  <c r="P54" i="134" s="1"/>
  <c r="Q54" i="134"/>
  <c r="O54" i="134"/>
  <c r="K54" i="134"/>
  <c r="G54" i="134"/>
  <c r="AD53" i="134"/>
  <c r="I21" i="133" s="1"/>
  <c r="Z53" i="134"/>
  <c r="Y53" i="134"/>
  <c r="O53" i="134"/>
  <c r="K53" i="134"/>
  <c r="AE52" i="134"/>
  <c r="V52" i="134"/>
  <c r="M52" i="134" s="1"/>
  <c r="U52" i="134"/>
  <c r="O52" i="134"/>
  <c r="K52" i="134"/>
  <c r="G52" i="134"/>
  <c r="V51" i="134"/>
  <c r="M51" i="134" s="1"/>
  <c r="U51" i="134"/>
  <c r="O51" i="134"/>
  <c r="N51" i="134"/>
  <c r="Q51" i="134" s="1"/>
  <c r="K51" i="134"/>
  <c r="G51" i="134"/>
  <c r="V50" i="134"/>
  <c r="U50" i="134"/>
  <c r="Q50" i="134"/>
  <c r="P50" i="134"/>
  <c r="O50" i="134"/>
  <c r="N50" i="134"/>
  <c r="M50" i="134"/>
  <c r="K50" i="134"/>
  <c r="G50" i="134"/>
  <c r="V49" i="134"/>
  <c r="U49" i="134"/>
  <c r="O49" i="134"/>
  <c r="N49" i="134"/>
  <c r="Q49" i="134" s="1"/>
  <c r="M49" i="134"/>
  <c r="K49" i="134"/>
  <c r="G49" i="134"/>
  <c r="V48" i="134"/>
  <c r="U48" i="134"/>
  <c r="O48" i="134"/>
  <c r="N48" i="134"/>
  <c r="Q48" i="134" s="1"/>
  <c r="M48" i="134"/>
  <c r="K48" i="134"/>
  <c r="G48" i="134"/>
  <c r="V47" i="134"/>
  <c r="U47" i="134"/>
  <c r="O47" i="134"/>
  <c r="N47" i="134"/>
  <c r="M47" i="134"/>
  <c r="K47" i="134"/>
  <c r="G47" i="134"/>
  <c r="X46" i="134"/>
  <c r="W46" i="134"/>
  <c r="V46" i="134"/>
  <c r="O46" i="134"/>
  <c r="N46" i="134"/>
  <c r="P46" i="134" s="1"/>
  <c r="M46" i="134"/>
  <c r="K46" i="134"/>
  <c r="G46" i="134"/>
  <c r="AD45" i="134"/>
  <c r="Z45" i="134"/>
  <c r="Y45" i="134"/>
  <c r="O45" i="134"/>
  <c r="M45" i="134"/>
  <c r="N45" i="134" s="1"/>
  <c r="K45" i="134"/>
  <c r="V44" i="134"/>
  <c r="U44" i="134"/>
  <c r="O44" i="134"/>
  <c r="N44" i="134"/>
  <c r="M44" i="134"/>
  <c r="K44" i="134"/>
  <c r="G44" i="134"/>
  <c r="AF43" i="134"/>
  <c r="V43" i="134"/>
  <c r="U43" i="134"/>
  <c r="O43" i="134"/>
  <c r="N43" i="134"/>
  <c r="M43" i="134"/>
  <c r="AE43" i="134" s="1"/>
  <c r="K43" i="134"/>
  <c r="G43" i="134"/>
  <c r="AF42" i="134"/>
  <c r="V42" i="134"/>
  <c r="O42" i="134"/>
  <c r="N42" i="134"/>
  <c r="M42" i="134"/>
  <c r="AE42" i="134" s="1"/>
  <c r="K42" i="134"/>
  <c r="G42" i="134"/>
  <c r="AF41" i="134"/>
  <c r="AE41" i="134"/>
  <c r="AD41" i="134"/>
  <c r="Z41" i="134"/>
  <c r="Y41" i="134"/>
  <c r="O41" i="134"/>
  <c r="N41" i="134"/>
  <c r="L14" i="133" s="1"/>
  <c r="L15" i="133" s="1"/>
  <c r="M41" i="134"/>
  <c r="K41" i="134"/>
  <c r="AF40" i="134"/>
  <c r="AE40" i="134"/>
  <c r="V40" i="134"/>
  <c r="M40" i="134" s="1"/>
  <c r="N40" i="134" s="1"/>
  <c r="U40" i="134"/>
  <c r="O40" i="134"/>
  <c r="K40" i="134"/>
  <c r="G40" i="134"/>
  <c r="AF39" i="134"/>
  <c r="AE39" i="134"/>
  <c r="X39" i="134"/>
  <c r="W39" i="134"/>
  <c r="V39" i="134"/>
  <c r="U39" i="134"/>
  <c r="O39" i="134"/>
  <c r="M39" i="134"/>
  <c r="N39" i="134" s="1"/>
  <c r="K39" i="134"/>
  <c r="G39" i="134"/>
  <c r="AF38" i="134"/>
  <c r="AE38" i="134"/>
  <c r="V38" i="134"/>
  <c r="M38" i="134" s="1"/>
  <c r="N38" i="134" s="1"/>
  <c r="U38" i="134"/>
  <c r="O38" i="134"/>
  <c r="K38" i="134"/>
  <c r="G38" i="134"/>
  <c r="AF37" i="134"/>
  <c r="AE37" i="134"/>
  <c r="V37" i="134"/>
  <c r="M37" i="134" s="1"/>
  <c r="N37" i="134" s="1"/>
  <c r="U37" i="134"/>
  <c r="O37" i="134"/>
  <c r="K37" i="134"/>
  <c r="G37" i="134"/>
  <c r="AF36" i="134"/>
  <c r="AE36" i="134"/>
  <c r="V36" i="134"/>
  <c r="M36" i="134" s="1"/>
  <c r="N36" i="134" s="1"/>
  <c r="P36" i="134" s="1"/>
  <c r="U36" i="134"/>
  <c r="Q36" i="134"/>
  <c r="O36" i="134"/>
  <c r="K36" i="134"/>
  <c r="G36" i="134"/>
  <c r="AG35" i="134"/>
  <c r="AF35" i="134"/>
  <c r="AE35" i="134"/>
  <c r="X35" i="134"/>
  <c r="W35" i="134"/>
  <c r="V35" i="134"/>
  <c r="M35" i="134" s="1"/>
  <c r="N35" i="134" s="1"/>
  <c r="O35" i="134"/>
  <c r="K35" i="134"/>
  <c r="G35" i="134"/>
  <c r="AD34" i="134"/>
  <c r="K21" i="133" s="1"/>
  <c r="Z34" i="134"/>
  <c r="Y34" i="134"/>
  <c r="O34" i="134"/>
  <c r="K34" i="134"/>
  <c r="AF33" i="134"/>
  <c r="AE33" i="134"/>
  <c r="V33" i="134"/>
  <c r="M33" i="134" s="1"/>
  <c r="N33" i="134" s="1"/>
  <c r="P33" i="134" s="1"/>
  <c r="U33" i="134"/>
  <c r="Q33" i="134"/>
  <c r="O33" i="134"/>
  <c r="K33" i="134"/>
  <c r="G33" i="134"/>
  <c r="AF32" i="134"/>
  <c r="AE32" i="134"/>
  <c r="V32" i="134"/>
  <c r="M32" i="134" s="1"/>
  <c r="N32" i="134" s="1"/>
  <c r="U32" i="134"/>
  <c r="Q32" i="134"/>
  <c r="P32" i="134"/>
  <c r="O32" i="134"/>
  <c r="K32" i="134"/>
  <c r="G32" i="134"/>
  <c r="AE31" i="134"/>
  <c r="V31" i="134"/>
  <c r="M31" i="134" s="1"/>
  <c r="U31" i="134"/>
  <c r="O31" i="134"/>
  <c r="K31" i="134"/>
  <c r="G31" i="134"/>
  <c r="V30" i="134"/>
  <c r="M30" i="134" s="1"/>
  <c r="U30" i="134"/>
  <c r="Q30" i="134"/>
  <c r="P30" i="134"/>
  <c r="O30" i="134"/>
  <c r="N30" i="134"/>
  <c r="K30" i="134"/>
  <c r="G30" i="134"/>
  <c r="X29" i="134"/>
  <c r="W29" i="134"/>
  <c r="V29" i="134"/>
  <c r="M29" i="134" s="1"/>
  <c r="O29" i="134"/>
  <c r="K29" i="134"/>
  <c r="G29" i="134"/>
  <c r="AD28" i="134"/>
  <c r="G21" i="133" s="1"/>
  <c r="Z28" i="134"/>
  <c r="G19" i="133" s="1"/>
  <c r="Y28" i="134"/>
  <c r="O28" i="134"/>
  <c r="K28" i="134"/>
  <c r="V27" i="134"/>
  <c r="M27" i="134" s="1"/>
  <c r="U27" i="134"/>
  <c r="Q27" i="134"/>
  <c r="P27" i="134"/>
  <c r="O27" i="134"/>
  <c r="N27" i="134"/>
  <c r="K27" i="134"/>
  <c r="G27" i="134"/>
  <c r="V26" i="134"/>
  <c r="U26" i="134"/>
  <c r="O26" i="134"/>
  <c r="N26" i="134"/>
  <c r="P26" i="134" s="1"/>
  <c r="M26" i="134"/>
  <c r="K26" i="134"/>
  <c r="G26" i="134"/>
  <c r="V25" i="134"/>
  <c r="U25" i="134"/>
  <c r="Q25" i="134"/>
  <c r="P25" i="134"/>
  <c r="O25" i="134"/>
  <c r="N25" i="134"/>
  <c r="M25" i="134"/>
  <c r="K25" i="134"/>
  <c r="G25" i="134"/>
  <c r="V24" i="134"/>
  <c r="U24" i="134"/>
  <c r="O24" i="134"/>
  <c r="N24" i="134"/>
  <c r="Q24" i="134" s="1"/>
  <c r="M24" i="134"/>
  <c r="K24" i="134"/>
  <c r="G24" i="134"/>
  <c r="V23" i="134"/>
  <c r="U23" i="134"/>
  <c r="O23" i="134"/>
  <c r="N23" i="134"/>
  <c r="M23" i="134"/>
  <c r="K23" i="134"/>
  <c r="G23" i="134"/>
  <c r="V22" i="134"/>
  <c r="P22" i="134"/>
  <c r="O22" i="134"/>
  <c r="N22" i="134"/>
  <c r="Q22" i="134" s="1"/>
  <c r="M22" i="134"/>
  <c r="K22" i="134"/>
  <c r="G22" i="134"/>
  <c r="AF21" i="134"/>
  <c r="AG14" i="134" s="1"/>
  <c r="AD21" i="134"/>
  <c r="Z21" i="134"/>
  <c r="Y21" i="134"/>
  <c r="P21" i="134"/>
  <c r="O21" i="134"/>
  <c r="N21" i="134"/>
  <c r="M21" i="134"/>
  <c r="AE21" i="134" s="1"/>
  <c r="K21" i="134"/>
  <c r="F13" i="133" s="1"/>
  <c r="AF20" i="134"/>
  <c r="AE20" i="134"/>
  <c r="V20" i="134"/>
  <c r="U20" i="134"/>
  <c r="O20" i="134"/>
  <c r="N20" i="134"/>
  <c r="M20" i="134"/>
  <c r="K20" i="134"/>
  <c r="G20" i="134"/>
  <c r="AF19" i="134"/>
  <c r="AE19" i="134"/>
  <c r="V19" i="134"/>
  <c r="U19" i="134"/>
  <c r="O19" i="134"/>
  <c r="M19" i="134"/>
  <c r="N19" i="134" s="1"/>
  <c r="K19" i="134"/>
  <c r="G19" i="134"/>
  <c r="AF18" i="134"/>
  <c r="AE18" i="134"/>
  <c r="V18" i="134"/>
  <c r="M18" i="134" s="1"/>
  <c r="N18" i="134" s="1"/>
  <c r="U18" i="134"/>
  <c r="O18" i="134"/>
  <c r="K18" i="134"/>
  <c r="G18" i="134"/>
  <c r="AF17" i="134"/>
  <c r="AE17" i="134"/>
  <c r="V17" i="134"/>
  <c r="M17" i="134" s="1"/>
  <c r="N17" i="134" s="1"/>
  <c r="P17" i="134" s="1"/>
  <c r="U17" i="134"/>
  <c r="Q17" i="134"/>
  <c r="O17" i="134"/>
  <c r="K17" i="134"/>
  <c r="G17" i="134"/>
  <c r="AF16" i="134"/>
  <c r="AE16" i="134"/>
  <c r="V16" i="134"/>
  <c r="M16" i="134" s="1"/>
  <c r="N16" i="134" s="1"/>
  <c r="U16" i="134"/>
  <c r="Q16" i="134"/>
  <c r="P16" i="134"/>
  <c r="O16" i="134"/>
  <c r="K16" i="134"/>
  <c r="G16" i="134"/>
  <c r="AF15" i="134"/>
  <c r="AE15" i="134"/>
  <c r="V15" i="134"/>
  <c r="M15" i="134" s="1"/>
  <c r="N15" i="134" s="1"/>
  <c r="U15" i="134"/>
  <c r="Q15" i="134"/>
  <c r="P15" i="134"/>
  <c r="O15" i="134"/>
  <c r="K15" i="134"/>
  <c r="G15" i="134"/>
  <c r="AF14" i="134"/>
  <c r="AE14" i="134"/>
  <c r="X14" i="134"/>
  <c r="W14" i="134"/>
  <c r="V14" i="134"/>
  <c r="M14" i="134" s="1"/>
  <c r="N14" i="134" s="1"/>
  <c r="P14" i="134" s="1"/>
  <c r="Q14" i="134"/>
  <c r="O14" i="134"/>
  <c r="K14" i="134"/>
  <c r="G14" i="134"/>
  <c r="AD13" i="134"/>
  <c r="Z13" i="134"/>
  <c r="E19" i="133" s="1"/>
  <c r="Y13" i="134"/>
  <c r="E18" i="133" s="1"/>
  <c r="O13" i="134"/>
  <c r="K13" i="134"/>
  <c r="E13" i="133" s="1"/>
  <c r="AF12" i="134"/>
  <c r="AE12" i="134"/>
  <c r="V12" i="134"/>
  <c r="M12" i="134" s="1"/>
  <c r="N12" i="134" s="1"/>
  <c r="U12" i="134"/>
  <c r="Q12" i="134"/>
  <c r="P12" i="134"/>
  <c r="O12" i="134"/>
  <c r="K12" i="134"/>
  <c r="G12" i="134"/>
  <c r="AE11" i="134"/>
  <c r="X11" i="134"/>
  <c r="W11" i="134"/>
  <c r="V11" i="134"/>
  <c r="M11" i="134" s="1"/>
  <c r="U11" i="134"/>
  <c r="O11" i="134"/>
  <c r="K11" i="134"/>
  <c r="G11" i="134"/>
  <c r="AF10" i="134"/>
  <c r="AE10" i="134"/>
  <c r="V10" i="134"/>
  <c r="M10" i="134" s="1"/>
  <c r="N10" i="134" s="1"/>
  <c r="U10" i="134"/>
  <c r="Q10" i="134"/>
  <c r="P10" i="134"/>
  <c r="O10" i="134"/>
  <c r="K10" i="134"/>
  <c r="G10" i="134"/>
  <c r="AF9" i="134"/>
  <c r="AE9" i="134"/>
  <c r="X9" i="134"/>
  <c r="W9" i="134"/>
  <c r="V9" i="134"/>
  <c r="M9" i="134" s="1"/>
  <c r="O9" i="134"/>
  <c r="K9" i="134"/>
  <c r="G9" i="134"/>
  <c r="AD8" i="134"/>
  <c r="AD2" i="134" s="1"/>
  <c r="N6" i="133" s="1"/>
  <c r="Z8" i="134"/>
  <c r="Y8" i="134"/>
  <c r="D18" i="133" s="1"/>
  <c r="O8" i="134"/>
  <c r="K8" i="134"/>
  <c r="D13" i="133" s="1"/>
  <c r="AF7" i="134"/>
  <c r="AE7" i="134"/>
  <c r="V7" i="134"/>
  <c r="M7" i="134" s="1"/>
  <c r="N7" i="134" s="1"/>
  <c r="U7" i="134"/>
  <c r="Q7" i="134"/>
  <c r="P7" i="134"/>
  <c r="O7" i="134"/>
  <c r="K7" i="134"/>
  <c r="G7" i="134"/>
  <c r="AE6" i="134"/>
  <c r="V6" i="134"/>
  <c r="M6" i="134" s="1"/>
  <c r="AF6" i="134" s="1"/>
  <c r="U6" i="134"/>
  <c r="P6" i="134"/>
  <c r="O6" i="134"/>
  <c r="N6" i="134"/>
  <c r="Q6" i="134" s="1"/>
  <c r="K6" i="134"/>
  <c r="G6" i="134"/>
  <c r="AE5" i="134"/>
  <c r="V5" i="134"/>
  <c r="M5" i="134" s="1"/>
  <c r="Q5" i="134"/>
  <c r="P5" i="134"/>
  <c r="O5" i="134"/>
  <c r="N5" i="134"/>
  <c r="K5" i="134"/>
  <c r="G5" i="134"/>
  <c r="Y2" i="134"/>
  <c r="K6" i="133" s="1"/>
  <c r="H2" i="134"/>
  <c r="H1" i="134"/>
  <c r="F1" i="134"/>
  <c r="F2" i="134" s="1"/>
  <c r="D1" i="134"/>
  <c r="M22" i="133"/>
  <c r="L22" i="133"/>
  <c r="K22" i="133"/>
  <c r="J22" i="133"/>
  <c r="I22" i="133"/>
  <c r="H22" i="133"/>
  <c r="G22" i="133"/>
  <c r="F22" i="133"/>
  <c r="E22" i="133"/>
  <c r="D22" i="133"/>
  <c r="M21" i="133"/>
  <c r="L21" i="133"/>
  <c r="H21" i="133"/>
  <c r="F21" i="133"/>
  <c r="E21" i="133"/>
  <c r="D21" i="133"/>
  <c r="M20" i="133"/>
  <c r="L20" i="133"/>
  <c r="K20" i="133"/>
  <c r="J20" i="133"/>
  <c r="I20" i="133"/>
  <c r="H20" i="133"/>
  <c r="G20" i="133"/>
  <c r="F20" i="133"/>
  <c r="E20" i="133"/>
  <c r="D20" i="133"/>
  <c r="M19" i="133"/>
  <c r="L19" i="133"/>
  <c r="K19" i="133"/>
  <c r="J19" i="133"/>
  <c r="I19" i="133"/>
  <c r="H19" i="133"/>
  <c r="F19" i="133"/>
  <c r="L18" i="133"/>
  <c r="K18" i="133"/>
  <c r="J18" i="133"/>
  <c r="I18" i="133"/>
  <c r="H18" i="133"/>
  <c r="G18" i="133"/>
  <c r="F18" i="133"/>
  <c r="M17" i="133"/>
  <c r="L17" i="133"/>
  <c r="K17" i="133"/>
  <c r="J17" i="133"/>
  <c r="I17" i="133"/>
  <c r="H17" i="133"/>
  <c r="G17" i="133"/>
  <c r="F17" i="133"/>
  <c r="E17" i="133"/>
  <c r="D17" i="133"/>
  <c r="M16" i="133"/>
  <c r="L16" i="133"/>
  <c r="K16" i="133"/>
  <c r="J16" i="133"/>
  <c r="I16" i="133"/>
  <c r="H16" i="133"/>
  <c r="G16" i="133"/>
  <c r="F16" i="133"/>
  <c r="E16" i="133"/>
  <c r="D16" i="133"/>
  <c r="M13" i="133"/>
  <c r="L13" i="133"/>
  <c r="K13" i="133"/>
  <c r="I6" i="133" s="1"/>
  <c r="J13" i="133"/>
  <c r="I13" i="133"/>
  <c r="H13" i="133"/>
  <c r="F6" i="133" s="1"/>
  <c r="G13" i="133"/>
  <c r="M6" i="133"/>
  <c r="I3" i="133"/>
  <c r="F3" i="133"/>
  <c r="C3" i="133"/>
  <c r="G8" i="143" l="1"/>
  <c r="E8" i="143"/>
  <c r="F8" i="143"/>
  <c r="K15" i="141"/>
  <c r="I8" i="141" s="1"/>
  <c r="I7" i="141"/>
  <c r="G7" i="141"/>
  <c r="D15" i="141"/>
  <c r="E7" i="141"/>
  <c r="F7" i="141"/>
  <c r="K14" i="139"/>
  <c r="Q40" i="140"/>
  <c r="R32" i="140" s="1"/>
  <c r="P40" i="140"/>
  <c r="Q75" i="140"/>
  <c r="R67" i="140" s="1"/>
  <c r="P75" i="140"/>
  <c r="M14" i="139"/>
  <c r="M15" i="139" s="1"/>
  <c r="Q66" i="140"/>
  <c r="R62" i="140" s="1"/>
  <c r="P66" i="140"/>
  <c r="J14" i="139"/>
  <c r="J15" i="139" s="1"/>
  <c r="D2" i="140"/>
  <c r="Q9" i="140"/>
  <c r="R5" i="140" s="1"/>
  <c r="P9" i="140"/>
  <c r="D14" i="139"/>
  <c r="P24" i="140"/>
  <c r="F14" i="139"/>
  <c r="F15" i="139" s="1"/>
  <c r="Q24" i="140"/>
  <c r="R17" i="140" s="1"/>
  <c r="Q16" i="140"/>
  <c r="R10" i="140" s="1"/>
  <c r="P16" i="140"/>
  <c r="E14" i="139"/>
  <c r="E15" i="139" s="1"/>
  <c r="I14" i="139"/>
  <c r="I15" i="139" s="1"/>
  <c r="Q61" i="140"/>
  <c r="R54" i="140" s="1"/>
  <c r="P61" i="140"/>
  <c r="Q53" i="140"/>
  <c r="R50" i="140" s="1"/>
  <c r="P53" i="140"/>
  <c r="H14" i="139"/>
  <c r="H15" i="139" s="1"/>
  <c r="Q31" i="140"/>
  <c r="R25" i="140" s="1"/>
  <c r="P31" i="140"/>
  <c r="G14" i="139"/>
  <c r="G15" i="139" s="1"/>
  <c r="Q49" i="140"/>
  <c r="R41" i="140" s="1"/>
  <c r="P49" i="140"/>
  <c r="L14" i="139"/>
  <c r="L15" i="139" s="1"/>
  <c r="P65" i="136"/>
  <c r="Q65" i="136"/>
  <c r="Q22" i="136"/>
  <c r="P22" i="136"/>
  <c r="Q32" i="136"/>
  <c r="P32" i="136"/>
  <c r="Q16" i="136"/>
  <c r="P16" i="136"/>
  <c r="N28" i="136"/>
  <c r="AF28" i="136"/>
  <c r="AG22" i="136" s="1"/>
  <c r="AE28" i="136"/>
  <c r="P36" i="136"/>
  <c r="Q36" i="136"/>
  <c r="AF43" i="136"/>
  <c r="AG36" i="136" s="1"/>
  <c r="AE43" i="136"/>
  <c r="N43" i="136"/>
  <c r="P49" i="136"/>
  <c r="Q49" i="136"/>
  <c r="P25" i="136"/>
  <c r="Q25" i="136"/>
  <c r="Q11" i="136"/>
  <c r="P11" i="136"/>
  <c r="D14" i="135"/>
  <c r="Q8" i="136"/>
  <c r="R5" i="136" s="1"/>
  <c r="P8" i="136"/>
  <c r="Q44" i="136"/>
  <c r="P44" i="136"/>
  <c r="N21" i="136"/>
  <c r="AF21" i="136"/>
  <c r="AG14" i="136" s="1"/>
  <c r="AE21" i="136"/>
  <c r="Q14" i="136"/>
  <c r="P14" i="136"/>
  <c r="N47" i="136"/>
  <c r="AE47" i="136"/>
  <c r="AF47" i="136"/>
  <c r="AG44" i="136" s="1"/>
  <c r="AF13" i="136"/>
  <c r="AG9" i="136" s="1"/>
  <c r="AE13" i="136"/>
  <c r="N13" i="136"/>
  <c r="D2" i="136" s="1"/>
  <c r="AF55" i="136"/>
  <c r="AG48" i="136" s="1"/>
  <c r="AE55" i="136"/>
  <c r="N55" i="136"/>
  <c r="Q30" i="136"/>
  <c r="P30" i="136"/>
  <c r="AF66" i="136"/>
  <c r="AG61" i="136" s="1"/>
  <c r="N66" i="136"/>
  <c r="AE66" i="136"/>
  <c r="P41" i="136"/>
  <c r="Q41" i="136"/>
  <c r="J14" i="135"/>
  <c r="J15" i="135" s="1"/>
  <c r="P60" i="136"/>
  <c r="Q60" i="136"/>
  <c r="R56" i="136" s="1"/>
  <c r="P37" i="136"/>
  <c r="Q37" i="136"/>
  <c r="K15" i="135"/>
  <c r="Q64" i="134"/>
  <c r="R59" i="134" s="1"/>
  <c r="P64" i="134"/>
  <c r="M14" i="133"/>
  <c r="M15" i="133" s="1"/>
  <c r="H14" i="133"/>
  <c r="H15" i="133" s="1"/>
  <c r="Q45" i="134"/>
  <c r="R42" i="134" s="1"/>
  <c r="P45" i="134"/>
  <c r="E6" i="133"/>
  <c r="P24" i="134"/>
  <c r="Q46" i="134"/>
  <c r="P49" i="134"/>
  <c r="Q26" i="134"/>
  <c r="P48" i="134"/>
  <c r="G6" i="133"/>
  <c r="P51" i="134"/>
  <c r="AF5" i="134"/>
  <c r="M8" i="134"/>
  <c r="D19" i="133"/>
  <c r="Z2" i="134"/>
  <c r="L6" i="133" s="1"/>
  <c r="N9" i="134"/>
  <c r="M13" i="134"/>
  <c r="N11" i="134"/>
  <c r="AF11" i="134"/>
  <c r="P18" i="134"/>
  <c r="Q18" i="134"/>
  <c r="Q19" i="134"/>
  <c r="P19" i="134"/>
  <c r="Q20" i="134"/>
  <c r="P20" i="134"/>
  <c r="F14" i="133"/>
  <c r="F15" i="133" s="1"/>
  <c r="Q21" i="134"/>
  <c r="R14" i="134" s="1"/>
  <c r="AE22" i="134"/>
  <c r="M28" i="134"/>
  <c r="AE28" i="134" s="1"/>
  <c r="AF22" i="134"/>
  <c r="AE23" i="134"/>
  <c r="AF23" i="134"/>
  <c r="P23" i="134"/>
  <c r="Q23" i="134"/>
  <c r="AF24" i="134"/>
  <c r="AE24" i="134"/>
  <c r="AF25" i="134"/>
  <c r="AE25" i="134"/>
  <c r="AE26" i="134"/>
  <c r="AF26" i="134"/>
  <c r="AE27" i="134"/>
  <c r="AF27" i="134"/>
  <c r="N29" i="134"/>
  <c r="AF29" i="134"/>
  <c r="M34" i="134"/>
  <c r="AE29" i="134"/>
  <c r="AF30" i="134"/>
  <c r="AE30" i="134"/>
  <c r="AF31" i="134"/>
  <c r="N31" i="134"/>
  <c r="Q35" i="134"/>
  <c r="P35" i="134"/>
  <c r="P37" i="134"/>
  <c r="Q37" i="134"/>
  <c r="Q38" i="134"/>
  <c r="P38" i="134"/>
  <c r="Q39" i="134"/>
  <c r="P39" i="134"/>
  <c r="Q40" i="134"/>
  <c r="P40" i="134"/>
  <c r="P41" i="134"/>
  <c r="Q41" i="134"/>
  <c r="R35" i="134" s="1"/>
  <c r="P42" i="134"/>
  <c r="Q42" i="134"/>
  <c r="P43" i="134"/>
  <c r="Q43" i="134"/>
  <c r="AE44" i="134"/>
  <c r="AF44" i="134"/>
  <c r="Q44" i="134"/>
  <c r="P44" i="134"/>
  <c r="AF45" i="134"/>
  <c r="AG42" i="134" s="1"/>
  <c r="AE45" i="134"/>
  <c r="AE46" i="134"/>
  <c r="M53" i="134"/>
  <c r="AF46" i="134"/>
  <c r="AE47" i="134"/>
  <c r="AF47" i="134"/>
  <c r="Q47" i="134"/>
  <c r="P47" i="134"/>
  <c r="AF48" i="134"/>
  <c r="AE48" i="134"/>
  <c r="AF49" i="134"/>
  <c r="AE49" i="134"/>
  <c r="AF50" i="134"/>
  <c r="AE50" i="134"/>
  <c r="AF51" i="134"/>
  <c r="AE51" i="134"/>
  <c r="AF52" i="134"/>
  <c r="N52" i="134"/>
  <c r="P56" i="134"/>
  <c r="Q56" i="134"/>
  <c r="Q57" i="134"/>
  <c r="P57" i="134"/>
  <c r="Q58" i="134"/>
  <c r="R54" i="134" s="1"/>
  <c r="P58" i="134"/>
  <c r="Q59" i="134"/>
  <c r="P59" i="134"/>
  <c r="Q60" i="134"/>
  <c r="P60" i="134"/>
  <c r="Q61" i="134"/>
  <c r="P61" i="134"/>
  <c r="Q62" i="134"/>
  <c r="P62" i="134"/>
  <c r="AE63" i="134"/>
  <c r="AF63" i="134"/>
  <c r="Q63" i="134"/>
  <c r="P63" i="134"/>
  <c r="AF64" i="134"/>
  <c r="AG59" i="134" s="1"/>
  <c r="AE64" i="134"/>
  <c r="AD79" i="132"/>
  <c r="Z79" i="132"/>
  <c r="Y79" i="132"/>
  <c r="O79" i="132"/>
  <c r="K79" i="132"/>
  <c r="AF78" i="132"/>
  <c r="V78" i="132"/>
  <c r="U78" i="132"/>
  <c r="O78" i="132"/>
  <c r="N78" i="132"/>
  <c r="Q78" i="132" s="1"/>
  <c r="M78" i="132"/>
  <c r="AE78" i="132" s="1"/>
  <c r="K78" i="132"/>
  <c r="G78" i="132"/>
  <c r="AF77" i="132"/>
  <c r="AE77" i="132"/>
  <c r="V77" i="132"/>
  <c r="U77" i="132"/>
  <c r="O77" i="132"/>
  <c r="N77" i="132"/>
  <c r="Q77" i="132" s="1"/>
  <c r="M77" i="132"/>
  <c r="K77" i="132"/>
  <c r="G77" i="132"/>
  <c r="V76" i="132"/>
  <c r="M76" i="132" s="1"/>
  <c r="U76" i="132"/>
  <c r="O76" i="132"/>
  <c r="K76" i="132"/>
  <c r="G76" i="132"/>
  <c r="AF75" i="132"/>
  <c r="AE75" i="132"/>
  <c r="X75" i="132"/>
  <c r="W75" i="132"/>
  <c r="V75" i="132"/>
  <c r="U75" i="132"/>
  <c r="O75" i="132"/>
  <c r="N75" i="132"/>
  <c r="Q75" i="132" s="1"/>
  <c r="M75" i="132"/>
  <c r="K75" i="132"/>
  <c r="G75" i="132"/>
  <c r="V74" i="132"/>
  <c r="M74" i="132" s="1"/>
  <c r="U74" i="132"/>
  <c r="O74" i="132"/>
  <c r="K74" i="132"/>
  <c r="G74" i="132"/>
  <c r="V73" i="132"/>
  <c r="M73" i="132" s="1"/>
  <c r="U73" i="132"/>
  <c r="O73" i="132"/>
  <c r="K73" i="132"/>
  <c r="G73" i="132"/>
  <c r="V72" i="132"/>
  <c r="M72" i="132" s="1"/>
  <c r="U72" i="132"/>
  <c r="O72" i="132"/>
  <c r="K72" i="132"/>
  <c r="G72" i="132"/>
  <c r="X71" i="132"/>
  <c r="W71" i="132"/>
  <c r="V71" i="132"/>
  <c r="M71" i="132" s="1"/>
  <c r="O71" i="132"/>
  <c r="K71" i="132"/>
  <c r="G71" i="132"/>
  <c r="AD70" i="132"/>
  <c r="Z70" i="132"/>
  <c r="Y70" i="132"/>
  <c r="O70" i="132"/>
  <c r="K70" i="132"/>
  <c r="V69" i="132"/>
  <c r="M69" i="132" s="1"/>
  <c r="U69" i="132"/>
  <c r="O69" i="132"/>
  <c r="K69" i="132"/>
  <c r="G69" i="132"/>
  <c r="V68" i="132"/>
  <c r="M68" i="132" s="1"/>
  <c r="U68" i="132"/>
  <c r="O68" i="132"/>
  <c r="K68" i="132"/>
  <c r="G68" i="132"/>
  <c r="V67" i="132"/>
  <c r="M67" i="132" s="1"/>
  <c r="U67" i="132"/>
  <c r="O67" i="132"/>
  <c r="K67" i="132"/>
  <c r="G67" i="132"/>
  <c r="V66" i="132"/>
  <c r="M66" i="132" s="1"/>
  <c r="O66" i="132"/>
  <c r="K66" i="132"/>
  <c r="G66" i="132"/>
  <c r="AD65" i="132"/>
  <c r="Z65" i="132"/>
  <c r="Y65" i="132"/>
  <c r="O65" i="132"/>
  <c r="K65" i="132"/>
  <c r="V64" i="132"/>
  <c r="M64" i="132" s="1"/>
  <c r="U64" i="132"/>
  <c r="O64" i="132"/>
  <c r="K64" i="132"/>
  <c r="G64" i="132"/>
  <c r="V63" i="132"/>
  <c r="U63" i="132"/>
  <c r="O63" i="132"/>
  <c r="M63" i="132"/>
  <c r="AF63" i="132" s="1"/>
  <c r="K63" i="132"/>
  <c r="G63" i="132"/>
  <c r="V62" i="132"/>
  <c r="U62" i="132"/>
  <c r="O62" i="132"/>
  <c r="M62" i="132"/>
  <c r="AF62" i="132" s="1"/>
  <c r="K62" i="132"/>
  <c r="G62" i="132"/>
  <c r="AE61" i="132"/>
  <c r="V61" i="132"/>
  <c r="U61" i="132"/>
  <c r="O61" i="132"/>
  <c r="M61" i="132"/>
  <c r="AF61" i="132" s="1"/>
  <c r="K61" i="132"/>
  <c r="G61" i="132"/>
  <c r="V60" i="132"/>
  <c r="M60" i="132" s="1"/>
  <c r="U60" i="132"/>
  <c r="O60" i="132"/>
  <c r="K60" i="132"/>
  <c r="G60" i="132"/>
  <c r="AF59" i="132"/>
  <c r="V59" i="132"/>
  <c r="U59" i="132"/>
  <c r="O59" i="132"/>
  <c r="M59" i="132"/>
  <c r="N59" i="132" s="1"/>
  <c r="K59" i="132"/>
  <c r="G59" i="132"/>
  <c r="X58" i="132"/>
  <c r="W58" i="132"/>
  <c r="V58" i="132"/>
  <c r="M58" i="132" s="1"/>
  <c r="O58" i="132"/>
  <c r="K58" i="132"/>
  <c r="G58" i="132"/>
  <c r="AD57" i="132"/>
  <c r="Z57" i="132"/>
  <c r="Y57" i="132"/>
  <c r="O57" i="132"/>
  <c r="K57" i="132"/>
  <c r="AF56" i="132"/>
  <c r="V56" i="132"/>
  <c r="U56" i="132"/>
  <c r="O56" i="132"/>
  <c r="M56" i="132"/>
  <c r="N56" i="132" s="1"/>
  <c r="K56" i="132"/>
  <c r="G56" i="132"/>
  <c r="X55" i="132"/>
  <c r="W55" i="132"/>
  <c r="V55" i="132"/>
  <c r="M55" i="132" s="1"/>
  <c r="U55" i="132"/>
  <c r="O55" i="132"/>
  <c r="K55" i="132"/>
  <c r="G55" i="132"/>
  <c r="AF54" i="132"/>
  <c r="V54" i="132"/>
  <c r="U54" i="132"/>
  <c r="O54" i="132"/>
  <c r="M54" i="132"/>
  <c r="N54" i="132" s="1"/>
  <c r="K54" i="132"/>
  <c r="G54" i="132"/>
  <c r="AE53" i="132"/>
  <c r="V53" i="132"/>
  <c r="U53" i="132"/>
  <c r="O53" i="132"/>
  <c r="N53" i="132"/>
  <c r="Q53" i="132" s="1"/>
  <c r="M53" i="132"/>
  <c r="AF53" i="132" s="1"/>
  <c r="K53" i="132"/>
  <c r="G53" i="132"/>
  <c r="X52" i="132"/>
  <c r="W52" i="132"/>
  <c r="V52" i="132"/>
  <c r="M52" i="132" s="1"/>
  <c r="O52" i="132"/>
  <c r="K52" i="132"/>
  <c r="G52" i="132"/>
  <c r="AD51" i="132"/>
  <c r="Z51" i="132"/>
  <c r="Y51" i="132"/>
  <c r="O51" i="132"/>
  <c r="K51" i="132"/>
  <c r="AE50" i="132"/>
  <c r="V50" i="132"/>
  <c r="U50" i="132"/>
  <c r="O50" i="132"/>
  <c r="N50" i="132"/>
  <c r="Q50" i="132" s="1"/>
  <c r="M50" i="132"/>
  <c r="AF50" i="132" s="1"/>
  <c r="K50" i="132"/>
  <c r="G50" i="132"/>
  <c r="V49" i="132"/>
  <c r="M49" i="132" s="1"/>
  <c r="U49" i="132"/>
  <c r="O49" i="132"/>
  <c r="K49" i="132"/>
  <c r="G49" i="132"/>
  <c r="V48" i="132"/>
  <c r="U48" i="132"/>
  <c r="O48" i="132"/>
  <c r="N48" i="132"/>
  <c r="P48" i="132" s="1"/>
  <c r="M48" i="132"/>
  <c r="AF48" i="132" s="1"/>
  <c r="K48" i="132"/>
  <c r="G48" i="132"/>
  <c r="V47" i="132"/>
  <c r="U47" i="132"/>
  <c r="O47" i="132"/>
  <c r="M47" i="132"/>
  <c r="N47" i="132" s="1"/>
  <c r="K47" i="132"/>
  <c r="G47" i="132"/>
  <c r="AE46" i="132"/>
  <c r="X46" i="132"/>
  <c r="W46" i="132"/>
  <c r="V46" i="132"/>
  <c r="U46" i="132"/>
  <c r="O46" i="132"/>
  <c r="N46" i="132"/>
  <c r="P46" i="132" s="1"/>
  <c r="M46" i="132"/>
  <c r="AF46" i="132" s="1"/>
  <c r="K46" i="132"/>
  <c r="G46" i="132"/>
  <c r="V45" i="132"/>
  <c r="U45" i="132"/>
  <c r="O45" i="132"/>
  <c r="M45" i="132"/>
  <c r="N45" i="132" s="1"/>
  <c r="K45" i="132"/>
  <c r="G45" i="132"/>
  <c r="V44" i="132"/>
  <c r="U44" i="132"/>
  <c r="O44" i="132"/>
  <c r="M44" i="132"/>
  <c r="N44" i="132" s="1"/>
  <c r="K44" i="132"/>
  <c r="G44" i="132"/>
  <c r="V43" i="132"/>
  <c r="M43" i="132" s="1"/>
  <c r="U43" i="132"/>
  <c r="O43" i="132"/>
  <c r="K43" i="132"/>
  <c r="G43" i="132"/>
  <c r="AF42" i="132"/>
  <c r="X42" i="132"/>
  <c r="W42" i="132"/>
  <c r="V42" i="132"/>
  <c r="O42" i="132"/>
  <c r="M42" i="132"/>
  <c r="N42" i="132" s="1"/>
  <c r="K42" i="132"/>
  <c r="G42" i="132"/>
  <c r="AD41" i="132"/>
  <c r="Z41" i="132"/>
  <c r="Y41" i="132"/>
  <c r="O41" i="132"/>
  <c r="K41" i="132"/>
  <c r="V40" i="132"/>
  <c r="M40" i="132" s="1"/>
  <c r="U40" i="132"/>
  <c r="O40" i="132"/>
  <c r="K40" i="132"/>
  <c r="G40" i="132"/>
  <c r="V39" i="132"/>
  <c r="M39" i="132" s="1"/>
  <c r="U39" i="132"/>
  <c r="O39" i="132"/>
  <c r="K39" i="132"/>
  <c r="G39" i="132"/>
  <c r="V38" i="132"/>
  <c r="U38" i="132"/>
  <c r="O38" i="132"/>
  <c r="M38" i="132"/>
  <c r="AF38" i="132" s="1"/>
  <c r="K38" i="132"/>
  <c r="G38" i="132"/>
  <c r="X37" i="132"/>
  <c r="W37" i="132"/>
  <c r="V37" i="132"/>
  <c r="M37" i="132" s="1"/>
  <c r="U37" i="132"/>
  <c r="O37" i="132"/>
  <c r="K37" i="132"/>
  <c r="G37" i="132"/>
  <c r="V36" i="132"/>
  <c r="U36" i="132"/>
  <c r="O36" i="132"/>
  <c r="M36" i="132"/>
  <c r="AF36" i="132" s="1"/>
  <c r="K36" i="132"/>
  <c r="G36" i="132"/>
  <c r="V35" i="132"/>
  <c r="M35" i="132" s="1"/>
  <c r="U35" i="132"/>
  <c r="O35" i="132"/>
  <c r="K35" i="132"/>
  <c r="G35" i="132"/>
  <c r="V34" i="132"/>
  <c r="M34" i="132" s="1"/>
  <c r="U34" i="132"/>
  <c r="O34" i="132"/>
  <c r="K34" i="132"/>
  <c r="G34" i="132"/>
  <c r="X33" i="132"/>
  <c r="W33" i="132"/>
  <c r="V33" i="132"/>
  <c r="O33" i="132"/>
  <c r="M33" i="132"/>
  <c r="AF33" i="132" s="1"/>
  <c r="K33" i="132"/>
  <c r="G33" i="132"/>
  <c r="AD32" i="132"/>
  <c r="Z32" i="132"/>
  <c r="Y32" i="132"/>
  <c r="O32" i="132"/>
  <c r="K32" i="132"/>
  <c r="V31" i="132"/>
  <c r="M31" i="132" s="1"/>
  <c r="U31" i="132"/>
  <c r="O31" i="132"/>
  <c r="K31" i="132"/>
  <c r="G31" i="132"/>
  <c r="V30" i="132"/>
  <c r="M30" i="132" s="1"/>
  <c r="U30" i="132"/>
  <c r="O30" i="132"/>
  <c r="K30" i="132"/>
  <c r="G30" i="132"/>
  <c r="AF29" i="132"/>
  <c r="V29" i="132"/>
  <c r="U29" i="132"/>
  <c r="O29" i="132"/>
  <c r="M29" i="132"/>
  <c r="N29" i="132" s="1"/>
  <c r="K29" i="132"/>
  <c r="G29" i="132"/>
  <c r="X28" i="132"/>
  <c r="W28" i="132"/>
  <c r="V28" i="132"/>
  <c r="M28" i="132" s="1"/>
  <c r="U28" i="132"/>
  <c r="O28" i="132"/>
  <c r="K28" i="132"/>
  <c r="G28" i="132"/>
  <c r="AF27" i="132"/>
  <c r="V27" i="132"/>
  <c r="U27" i="132"/>
  <c r="O27" i="132"/>
  <c r="M27" i="132"/>
  <c r="N27" i="132" s="1"/>
  <c r="K27" i="132"/>
  <c r="G27" i="132"/>
  <c r="AF26" i="132"/>
  <c r="V26" i="132"/>
  <c r="O26" i="132"/>
  <c r="M26" i="132"/>
  <c r="N26" i="132" s="1"/>
  <c r="K26" i="132"/>
  <c r="G26" i="132"/>
  <c r="AD25" i="132"/>
  <c r="Z25" i="132"/>
  <c r="Y25" i="132"/>
  <c r="O25" i="132"/>
  <c r="K25" i="132"/>
  <c r="V24" i="132"/>
  <c r="M24" i="132" s="1"/>
  <c r="U24" i="132"/>
  <c r="O24" i="132"/>
  <c r="K24" i="132"/>
  <c r="G24" i="132"/>
  <c r="V23" i="132"/>
  <c r="U23" i="132"/>
  <c r="O23" i="132"/>
  <c r="N23" i="132"/>
  <c r="P23" i="132" s="1"/>
  <c r="M23" i="132"/>
  <c r="AF23" i="132" s="1"/>
  <c r="K23" i="132"/>
  <c r="G23" i="132"/>
  <c r="V22" i="132"/>
  <c r="U22" i="132"/>
  <c r="O22" i="132"/>
  <c r="M22" i="132"/>
  <c r="N22" i="132" s="1"/>
  <c r="K22" i="132"/>
  <c r="G22" i="132"/>
  <c r="V21" i="132"/>
  <c r="U21" i="132"/>
  <c r="O21" i="132"/>
  <c r="M21" i="132"/>
  <c r="N21" i="132" s="1"/>
  <c r="K21" i="132"/>
  <c r="G21" i="132"/>
  <c r="V20" i="132"/>
  <c r="M20" i="132" s="1"/>
  <c r="U20" i="132"/>
  <c r="O20" i="132"/>
  <c r="K20" i="132"/>
  <c r="G20" i="132"/>
  <c r="V19" i="132"/>
  <c r="M19" i="132" s="1"/>
  <c r="U19" i="132"/>
  <c r="O19" i="132"/>
  <c r="K19" i="132"/>
  <c r="G19" i="132"/>
  <c r="AE18" i="132"/>
  <c r="X18" i="132"/>
  <c r="W18" i="132"/>
  <c r="V18" i="132"/>
  <c r="O18" i="132"/>
  <c r="M18" i="132"/>
  <c r="N18" i="132" s="1"/>
  <c r="K18" i="132"/>
  <c r="G18" i="132"/>
  <c r="AD17" i="132"/>
  <c r="Z17" i="132"/>
  <c r="Y17" i="132"/>
  <c r="O17" i="132"/>
  <c r="K17" i="132"/>
  <c r="V16" i="132"/>
  <c r="M16" i="132" s="1"/>
  <c r="U16" i="132"/>
  <c r="O16" i="132"/>
  <c r="K16" i="132"/>
  <c r="G16" i="132"/>
  <c r="V15" i="132"/>
  <c r="U15" i="132"/>
  <c r="O15" i="132"/>
  <c r="M15" i="132"/>
  <c r="AF15" i="132" s="1"/>
  <c r="K15" i="132"/>
  <c r="G15" i="132"/>
  <c r="AE14" i="132"/>
  <c r="V14" i="132"/>
  <c r="U14" i="132"/>
  <c r="O14" i="132"/>
  <c r="M14" i="132"/>
  <c r="AF14" i="132" s="1"/>
  <c r="K14" i="132"/>
  <c r="G14" i="132"/>
  <c r="V13" i="132"/>
  <c r="M13" i="132" s="1"/>
  <c r="U13" i="132"/>
  <c r="O13" i="132"/>
  <c r="K13" i="132"/>
  <c r="G13" i="132"/>
  <c r="V12" i="132"/>
  <c r="M12" i="132" s="1"/>
  <c r="U12" i="132"/>
  <c r="O12" i="132"/>
  <c r="K12" i="132"/>
  <c r="G12" i="132"/>
  <c r="X11" i="132"/>
  <c r="W11" i="132"/>
  <c r="V11" i="132"/>
  <c r="M11" i="132" s="1"/>
  <c r="U11" i="132"/>
  <c r="O11" i="132"/>
  <c r="K11" i="132"/>
  <c r="G11" i="132"/>
  <c r="V10" i="132"/>
  <c r="M10" i="132" s="1"/>
  <c r="U10" i="132"/>
  <c r="O10" i="132"/>
  <c r="K10" i="132"/>
  <c r="G10" i="132"/>
  <c r="X9" i="132"/>
  <c r="W9" i="132"/>
  <c r="V9" i="132"/>
  <c r="O9" i="132"/>
  <c r="M9" i="132"/>
  <c r="AE9" i="132" s="1"/>
  <c r="K9" i="132"/>
  <c r="G9" i="132"/>
  <c r="AD8" i="132"/>
  <c r="AD2" i="132" s="1"/>
  <c r="N6" i="131" s="1"/>
  <c r="Z8" i="132"/>
  <c r="Z2" i="132" s="1"/>
  <c r="L6" i="131" s="1"/>
  <c r="Y8" i="132"/>
  <c r="Y2" i="132" s="1"/>
  <c r="K6" i="131" s="1"/>
  <c r="O8" i="132"/>
  <c r="K8" i="132"/>
  <c r="V7" i="132"/>
  <c r="M7" i="132" s="1"/>
  <c r="U7" i="132"/>
  <c r="O7" i="132"/>
  <c r="K7" i="132"/>
  <c r="G7" i="132"/>
  <c r="F1" i="132" s="1"/>
  <c r="AF6" i="132"/>
  <c r="V6" i="132"/>
  <c r="U6" i="132"/>
  <c r="O6" i="132"/>
  <c r="M6" i="132"/>
  <c r="N6" i="132" s="1"/>
  <c r="K6" i="132"/>
  <c r="G6" i="132"/>
  <c r="AF5" i="132"/>
  <c r="V5" i="132"/>
  <c r="O5" i="132"/>
  <c r="M5" i="132"/>
  <c r="N5" i="132" s="1"/>
  <c r="K5" i="132"/>
  <c r="G5" i="132"/>
  <c r="AC2" i="132"/>
  <c r="H2" i="132"/>
  <c r="H1" i="132"/>
  <c r="D1" i="132"/>
  <c r="M22" i="131"/>
  <c r="L22" i="131"/>
  <c r="K22" i="131"/>
  <c r="J22" i="131"/>
  <c r="I22" i="131"/>
  <c r="H22" i="131"/>
  <c r="G22" i="131"/>
  <c r="F22" i="131"/>
  <c r="E22" i="131"/>
  <c r="D22" i="131"/>
  <c r="M21" i="131"/>
  <c r="L21" i="131"/>
  <c r="K21" i="131"/>
  <c r="J21" i="131"/>
  <c r="I21" i="131"/>
  <c r="H21" i="131"/>
  <c r="G21" i="131"/>
  <c r="F21" i="131"/>
  <c r="E21" i="131"/>
  <c r="D21" i="131"/>
  <c r="M20" i="131"/>
  <c r="L20" i="131"/>
  <c r="K20" i="131"/>
  <c r="J20" i="131"/>
  <c r="I20" i="131"/>
  <c r="H20" i="131"/>
  <c r="G20" i="131"/>
  <c r="F20" i="131"/>
  <c r="E20" i="131"/>
  <c r="D20" i="131"/>
  <c r="M19" i="131"/>
  <c r="L19" i="131"/>
  <c r="K19" i="131"/>
  <c r="J19" i="131"/>
  <c r="I19" i="131"/>
  <c r="H19" i="131"/>
  <c r="G19" i="131"/>
  <c r="F19" i="131"/>
  <c r="E19" i="131"/>
  <c r="D19" i="131"/>
  <c r="M18" i="131"/>
  <c r="L18" i="131"/>
  <c r="K18" i="131"/>
  <c r="J18" i="131"/>
  <c r="I18" i="131"/>
  <c r="H18" i="131"/>
  <c r="G18" i="131"/>
  <c r="F18" i="131"/>
  <c r="E18" i="131"/>
  <c r="D18" i="131"/>
  <c r="M17" i="131"/>
  <c r="L17" i="131"/>
  <c r="K17" i="131"/>
  <c r="J17" i="131"/>
  <c r="I17" i="131"/>
  <c r="H17" i="131"/>
  <c r="G17" i="131"/>
  <c r="F17" i="131"/>
  <c r="E17" i="131"/>
  <c r="D17" i="131"/>
  <c r="M16" i="131"/>
  <c r="L16" i="131"/>
  <c r="K16" i="131"/>
  <c r="J16" i="131"/>
  <c r="I16" i="131"/>
  <c r="H16" i="131"/>
  <c r="G16" i="131"/>
  <c r="F16" i="131"/>
  <c r="E16" i="131"/>
  <c r="D16" i="131"/>
  <c r="M13" i="131"/>
  <c r="L13" i="131"/>
  <c r="K13" i="131"/>
  <c r="I6" i="131" s="1"/>
  <c r="J13" i="131"/>
  <c r="I13" i="131"/>
  <c r="H13" i="131"/>
  <c r="F6" i="131" s="1"/>
  <c r="G13" i="131"/>
  <c r="F13" i="131"/>
  <c r="E13" i="131"/>
  <c r="D13" i="131"/>
  <c r="M6" i="131"/>
  <c r="F3" i="131"/>
  <c r="C3" i="131"/>
  <c r="G8" i="141" l="1"/>
  <c r="E8" i="141"/>
  <c r="F8" i="141"/>
  <c r="D15" i="139"/>
  <c r="G7" i="139"/>
  <c r="F7" i="139"/>
  <c r="E7" i="139"/>
  <c r="K15" i="139"/>
  <c r="I8" i="139" s="1"/>
  <c r="I7" i="139"/>
  <c r="L14" i="135"/>
  <c r="P43" i="136"/>
  <c r="Q43" i="136"/>
  <c r="R36" i="136" s="1"/>
  <c r="Q47" i="136"/>
  <c r="R44" i="136" s="1"/>
  <c r="P47" i="136"/>
  <c r="H14" i="135"/>
  <c r="H15" i="135" s="1"/>
  <c r="Q28" i="136"/>
  <c r="R22" i="136" s="1"/>
  <c r="P28" i="136"/>
  <c r="G14" i="135"/>
  <c r="G15" i="135" s="1"/>
  <c r="P66" i="136"/>
  <c r="Q66" i="136"/>
  <c r="R61" i="136" s="1"/>
  <c r="M14" i="135"/>
  <c r="M15" i="135" s="1"/>
  <c r="Q13" i="136"/>
  <c r="R9" i="136" s="1"/>
  <c r="E14" i="135"/>
  <c r="E15" i="135" s="1"/>
  <c r="P13" i="136"/>
  <c r="P21" i="136"/>
  <c r="F14" i="135"/>
  <c r="F15" i="135" s="1"/>
  <c r="Q21" i="136"/>
  <c r="R14" i="136" s="1"/>
  <c r="D15" i="135"/>
  <c r="Q55" i="136"/>
  <c r="R48" i="136" s="1"/>
  <c r="P55" i="136"/>
  <c r="I14" i="135"/>
  <c r="I15" i="135" s="1"/>
  <c r="N34" i="134"/>
  <c r="K14" i="133" s="1"/>
  <c r="AF34" i="134"/>
  <c r="AG29" i="134" s="1"/>
  <c r="AE34" i="134"/>
  <c r="P9" i="134"/>
  <c r="Q9" i="134"/>
  <c r="N53" i="134"/>
  <c r="Q53" i="134" s="1"/>
  <c r="R46" i="134" s="1"/>
  <c r="AE53" i="134"/>
  <c r="AF53" i="134"/>
  <c r="AG46" i="134" s="1"/>
  <c r="Q31" i="134"/>
  <c r="P31" i="134"/>
  <c r="P52" i="134"/>
  <c r="Q52" i="134"/>
  <c r="Q29" i="134"/>
  <c r="P29" i="134"/>
  <c r="Q11" i="134"/>
  <c r="P11" i="134"/>
  <c r="N13" i="134"/>
  <c r="Q13" i="134" s="1"/>
  <c r="R9" i="134" s="1"/>
  <c r="AE13" i="134"/>
  <c r="AF13" i="134"/>
  <c r="AG9" i="134" s="1"/>
  <c r="N8" i="134"/>
  <c r="AF8" i="134"/>
  <c r="AG5" i="134" s="1"/>
  <c r="AE8" i="134"/>
  <c r="P53" i="134"/>
  <c r="I14" i="133"/>
  <c r="I15" i="133" s="1"/>
  <c r="Q34" i="134"/>
  <c r="R29" i="134" s="1"/>
  <c r="P34" i="134"/>
  <c r="N28" i="134"/>
  <c r="AF28" i="134"/>
  <c r="AG22" i="134" s="1"/>
  <c r="E14" i="133"/>
  <c r="E15" i="133" s="1"/>
  <c r="P13" i="134"/>
  <c r="Q29" i="132"/>
  <c r="P29" i="132"/>
  <c r="AF35" i="132"/>
  <c r="AE35" i="132"/>
  <c r="N35" i="132"/>
  <c r="AF39" i="132"/>
  <c r="AE39" i="132"/>
  <c r="N39" i="132"/>
  <c r="Q47" i="132"/>
  <c r="P47" i="132"/>
  <c r="Q44" i="132"/>
  <c r="P44" i="132"/>
  <c r="Q22" i="132"/>
  <c r="P22" i="132"/>
  <c r="Q59" i="132"/>
  <c r="P59" i="132"/>
  <c r="AF34" i="132"/>
  <c r="AE34" i="132"/>
  <c r="N34" i="132"/>
  <c r="Q6" i="132"/>
  <c r="P6" i="132"/>
  <c r="Q45" i="132"/>
  <c r="P45" i="132"/>
  <c r="N52" i="132"/>
  <c r="M57" i="132"/>
  <c r="AF52" i="132"/>
  <c r="AE52" i="132"/>
  <c r="N76" i="132"/>
  <c r="AF76" i="132"/>
  <c r="AE76" i="132"/>
  <c r="AF16" i="132"/>
  <c r="AE16" i="132"/>
  <c r="N16" i="132"/>
  <c r="AE30" i="132"/>
  <c r="N30" i="132"/>
  <c r="AF30" i="132"/>
  <c r="Q54" i="132"/>
  <c r="P54" i="132"/>
  <c r="N68" i="132"/>
  <c r="AF68" i="132"/>
  <c r="AE68" i="132"/>
  <c r="M65" i="132"/>
  <c r="N58" i="132"/>
  <c r="AF58" i="132"/>
  <c r="AE58" i="132"/>
  <c r="AF64" i="132"/>
  <c r="AE64" i="132"/>
  <c r="N64" i="132"/>
  <c r="Q42" i="132"/>
  <c r="P42" i="132"/>
  <c r="Q5" i="132"/>
  <c r="P5" i="132"/>
  <c r="AE7" i="132"/>
  <c r="N7" i="132"/>
  <c r="AF7" i="132"/>
  <c r="Q18" i="132"/>
  <c r="P18" i="132"/>
  <c r="AF40" i="132"/>
  <c r="AE40" i="132"/>
  <c r="N40" i="132"/>
  <c r="N55" i="132"/>
  <c r="AF55" i="132"/>
  <c r="AE55" i="132"/>
  <c r="N28" i="132"/>
  <c r="AF28" i="132"/>
  <c r="M32" i="132"/>
  <c r="AE28" i="132"/>
  <c r="AF20" i="132"/>
  <c r="AE20" i="132"/>
  <c r="N20" i="132"/>
  <c r="N24" i="132"/>
  <c r="AF24" i="132"/>
  <c r="AE24" i="132"/>
  <c r="AE10" i="132"/>
  <c r="N10" i="132"/>
  <c r="AF10" i="132"/>
  <c r="AE12" i="132"/>
  <c r="N12" i="132"/>
  <c r="AF12" i="132"/>
  <c r="Q27" i="132"/>
  <c r="P27" i="132"/>
  <c r="Q21" i="132"/>
  <c r="P21" i="132"/>
  <c r="AF37" i="132"/>
  <c r="AE37" i="132"/>
  <c r="N37" i="132"/>
  <c r="AF43" i="132"/>
  <c r="AE43" i="132"/>
  <c r="N43" i="132"/>
  <c r="Q56" i="132"/>
  <c r="P56" i="132"/>
  <c r="N66" i="132"/>
  <c r="M70" i="132"/>
  <c r="AF66" i="132"/>
  <c r="AE66" i="132"/>
  <c r="N71" i="132"/>
  <c r="AF71" i="132"/>
  <c r="AE71" i="132"/>
  <c r="M79" i="132"/>
  <c r="N73" i="132"/>
  <c r="AF73" i="132"/>
  <c r="AE73" i="132"/>
  <c r="N69" i="132"/>
  <c r="AF69" i="132"/>
  <c r="AE69" i="132"/>
  <c r="N49" i="132"/>
  <c r="AF49" i="132"/>
  <c r="AE49" i="132"/>
  <c r="F2" i="132"/>
  <c r="I3" i="131"/>
  <c r="AF31" i="132"/>
  <c r="AE31" i="132"/>
  <c r="N31" i="132"/>
  <c r="AE60" i="132"/>
  <c r="N60" i="132"/>
  <c r="AF60" i="132"/>
  <c r="N11" i="132"/>
  <c r="AF11" i="132"/>
  <c r="AE11" i="132"/>
  <c r="AF13" i="132"/>
  <c r="AE13" i="132"/>
  <c r="N13" i="132"/>
  <c r="AF19" i="132"/>
  <c r="AE19" i="132"/>
  <c r="N19" i="132"/>
  <c r="Q26" i="132"/>
  <c r="P26" i="132"/>
  <c r="N67" i="132"/>
  <c r="AF67" i="132"/>
  <c r="AE67" i="132"/>
  <c r="N74" i="132"/>
  <c r="AF74" i="132"/>
  <c r="AE74" i="132"/>
  <c r="N72" i="132"/>
  <c r="AF72" i="132"/>
  <c r="AE72" i="132"/>
  <c r="AE5" i="132"/>
  <c r="AE6" i="132"/>
  <c r="AF9" i="132"/>
  <c r="Q23" i="132"/>
  <c r="AE26" i="132"/>
  <c r="AE27" i="132"/>
  <c r="AE29" i="132"/>
  <c r="Q46" i="132"/>
  <c r="Q48" i="132"/>
  <c r="AE54" i="132"/>
  <c r="AE56" i="132"/>
  <c r="AE59" i="132"/>
  <c r="E6" i="131"/>
  <c r="G6" i="131"/>
  <c r="M8" i="132"/>
  <c r="N15" i="132"/>
  <c r="N33" i="132"/>
  <c r="N36" i="132"/>
  <c r="N38" i="132"/>
  <c r="N63" i="132"/>
  <c r="N9" i="132"/>
  <c r="N14" i="132"/>
  <c r="AE23" i="132"/>
  <c r="AE48" i="132"/>
  <c r="N62" i="132"/>
  <c r="AE22" i="132"/>
  <c r="AE45" i="132"/>
  <c r="AE47" i="132"/>
  <c r="M51" i="132"/>
  <c r="N61" i="132"/>
  <c r="AE21" i="132"/>
  <c r="AF22" i="132"/>
  <c r="M25" i="132"/>
  <c r="AE44" i="132"/>
  <c r="AF45" i="132"/>
  <c r="AF47" i="132"/>
  <c r="AF21" i="132"/>
  <c r="AE42" i="132"/>
  <c r="AF44" i="132"/>
  <c r="P78" i="132"/>
  <c r="AE15" i="132"/>
  <c r="AF18" i="132"/>
  <c r="AE36" i="132"/>
  <c r="AE38" i="132"/>
  <c r="AE63" i="132"/>
  <c r="P75" i="132"/>
  <c r="P77" i="132"/>
  <c r="M41" i="132"/>
  <c r="P50" i="132"/>
  <c r="P53" i="132"/>
  <c r="AE62" i="132"/>
  <c r="M17" i="132"/>
  <c r="AE33" i="132"/>
  <c r="AD70" i="130"/>
  <c r="Z70" i="130"/>
  <c r="M19" i="129" s="1"/>
  <c r="Y70" i="130"/>
  <c r="O70" i="130"/>
  <c r="K70" i="130"/>
  <c r="M13" i="129" s="1"/>
  <c r="V69" i="130"/>
  <c r="U69" i="130"/>
  <c r="O69" i="130"/>
  <c r="M69" i="130"/>
  <c r="AE69" i="130" s="1"/>
  <c r="K69" i="130"/>
  <c r="G69" i="130"/>
  <c r="AF68" i="130"/>
  <c r="X68" i="130"/>
  <c r="W68" i="130"/>
  <c r="V68" i="130"/>
  <c r="U68" i="130"/>
  <c r="O68" i="130"/>
  <c r="M68" i="130"/>
  <c r="N68" i="130" s="1"/>
  <c r="K68" i="130"/>
  <c r="G68" i="130"/>
  <c r="V67" i="130"/>
  <c r="U67" i="130"/>
  <c r="O67" i="130"/>
  <c r="M67" i="130"/>
  <c r="AE67" i="130" s="1"/>
  <c r="K67" i="130"/>
  <c r="G67" i="130"/>
  <c r="AF66" i="130"/>
  <c r="AE66" i="130"/>
  <c r="V66" i="130"/>
  <c r="U66" i="130"/>
  <c r="O66" i="130"/>
  <c r="M66" i="130"/>
  <c r="N66" i="130" s="1"/>
  <c r="K66" i="130"/>
  <c r="G66" i="130"/>
  <c r="V65" i="130"/>
  <c r="M65" i="130" s="1"/>
  <c r="U65" i="130"/>
  <c r="O65" i="130"/>
  <c r="K65" i="130"/>
  <c r="G65" i="130"/>
  <c r="AF64" i="130"/>
  <c r="AE64" i="130"/>
  <c r="X64" i="130"/>
  <c r="W64" i="130"/>
  <c r="V64" i="130"/>
  <c r="O64" i="130"/>
  <c r="M64" i="130"/>
  <c r="N64" i="130" s="1"/>
  <c r="K64" i="130"/>
  <c r="G64" i="130"/>
  <c r="AD63" i="130"/>
  <c r="Z63" i="130"/>
  <c r="Y63" i="130"/>
  <c r="O63" i="130"/>
  <c r="K63" i="130"/>
  <c r="V62" i="130"/>
  <c r="M62" i="130" s="1"/>
  <c r="U62" i="130"/>
  <c r="O62" i="130"/>
  <c r="K62" i="130"/>
  <c r="G62" i="130"/>
  <c r="V61" i="130"/>
  <c r="M61" i="130" s="1"/>
  <c r="U61" i="130"/>
  <c r="O61" i="130"/>
  <c r="K61" i="130"/>
  <c r="G61" i="130"/>
  <c r="V60" i="130"/>
  <c r="M60" i="130" s="1"/>
  <c r="U60" i="130"/>
  <c r="O60" i="130"/>
  <c r="K60" i="130"/>
  <c r="G60" i="130"/>
  <c r="V59" i="130"/>
  <c r="M59" i="130" s="1"/>
  <c r="O59" i="130"/>
  <c r="K59" i="130"/>
  <c r="G59" i="130"/>
  <c r="AD58" i="130"/>
  <c r="I21" i="129" s="1"/>
  <c r="Z58" i="130"/>
  <c r="Y58" i="130"/>
  <c r="I18" i="129" s="1"/>
  <c r="O58" i="130"/>
  <c r="K58" i="130"/>
  <c r="V57" i="130"/>
  <c r="M57" i="130" s="1"/>
  <c r="U57" i="130"/>
  <c r="O57" i="130"/>
  <c r="K57" i="130"/>
  <c r="G57" i="130"/>
  <c r="V56" i="130"/>
  <c r="M56" i="130" s="1"/>
  <c r="U56" i="130"/>
  <c r="O56" i="130"/>
  <c r="K56" i="130"/>
  <c r="G56" i="130"/>
  <c r="V55" i="130"/>
  <c r="U55" i="130"/>
  <c r="O55" i="130"/>
  <c r="N55" i="130"/>
  <c r="Q55" i="130" s="1"/>
  <c r="M55" i="130"/>
  <c r="AF55" i="130" s="1"/>
  <c r="K55" i="130"/>
  <c r="G55" i="130"/>
  <c r="V54" i="130"/>
  <c r="U54" i="130"/>
  <c r="O54" i="130"/>
  <c r="M54" i="130"/>
  <c r="AE54" i="130" s="1"/>
  <c r="K54" i="130"/>
  <c r="G54" i="130"/>
  <c r="V53" i="130"/>
  <c r="U53" i="130"/>
  <c r="O53" i="130"/>
  <c r="M53" i="130"/>
  <c r="AF53" i="130" s="1"/>
  <c r="K53" i="130"/>
  <c r="G53" i="130"/>
  <c r="V52" i="130"/>
  <c r="U52" i="130"/>
  <c r="O52" i="130"/>
  <c r="M52" i="130"/>
  <c r="AF52" i="130" s="1"/>
  <c r="K52" i="130"/>
  <c r="G52" i="130"/>
  <c r="X51" i="130"/>
  <c r="W51" i="130"/>
  <c r="V51" i="130"/>
  <c r="O51" i="130"/>
  <c r="M51" i="130"/>
  <c r="AF51" i="130" s="1"/>
  <c r="K51" i="130"/>
  <c r="G51" i="130"/>
  <c r="AD50" i="130"/>
  <c r="H21" i="129" s="1"/>
  <c r="Z50" i="130"/>
  <c r="Y50" i="130"/>
  <c r="O50" i="130"/>
  <c r="M50" i="130"/>
  <c r="AF50" i="130" s="1"/>
  <c r="AG46" i="130" s="1"/>
  <c r="K50" i="130"/>
  <c r="V49" i="130"/>
  <c r="U49" i="130"/>
  <c r="O49" i="130"/>
  <c r="M49" i="130"/>
  <c r="AF49" i="130" s="1"/>
  <c r="K49" i="130"/>
  <c r="G49" i="130"/>
  <c r="V48" i="130"/>
  <c r="U48" i="130"/>
  <c r="O48" i="130"/>
  <c r="M48" i="130"/>
  <c r="AE48" i="130" s="1"/>
  <c r="K48" i="130"/>
  <c r="G48" i="130"/>
  <c r="AF47" i="130"/>
  <c r="AE47" i="130"/>
  <c r="V47" i="130"/>
  <c r="U47" i="130"/>
  <c r="O47" i="130"/>
  <c r="M47" i="130"/>
  <c r="N47" i="130" s="1"/>
  <c r="K47" i="130"/>
  <c r="G47" i="130"/>
  <c r="AF46" i="130"/>
  <c r="X46" i="130"/>
  <c r="W46" i="130"/>
  <c r="V46" i="130"/>
  <c r="O46" i="130"/>
  <c r="M46" i="130"/>
  <c r="N46" i="130" s="1"/>
  <c r="K46" i="130"/>
  <c r="G46" i="130"/>
  <c r="AD45" i="130"/>
  <c r="Z45" i="130"/>
  <c r="Y45" i="130"/>
  <c r="L18" i="129" s="1"/>
  <c r="O45" i="130"/>
  <c r="K45" i="130"/>
  <c r="L13" i="129" s="1"/>
  <c r="AF44" i="130"/>
  <c r="AE44" i="130"/>
  <c r="V44" i="130"/>
  <c r="U44" i="130"/>
  <c r="O44" i="130"/>
  <c r="M44" i="130"/>
  <c r="N44" i="130" s="1"/>
  <c r="K44" i="130"/>
  <c r="G44" i="130"/>
  <c r="V43" i="130"/>
  <c r="M43" i="130" s="1"/>
  <c r="U43" i="130"/>
  <c r="O43" i="130"/>
  <c r="K43" i="130"/>
  <c r="G43" i="130"/>
  <c r="AF42" i="130"/>
  <c r="AE42" i="130"/>
  <c r="X42" i="130"/>
  <c r="W42" i="130"/>
  <c r="V42" i="130"/>
  <c r="U42" i="130"/>
  <c r="O42" i="130"/>
  <c r="M42" i="130"/>
  <c r="N42" i="130" s="1"/>
  <c r="K42" i="130"/>
  <c r="G42" i="130"/>
  <c r="V41" i="130"/>
  <c r="M41" i="130" s="1"/>
  <c r="U41" i="130"/>
  <c r="O41" i="130"/>
  <c r="K41" i="130"/>
  <c r="G41" i="130"/>
  <c r="V40" i="130"/>
  <c r="M40" i="130" s="1"/>
  <c r="U40" i="130"/>
  <c r="O40" i="130"/>
  <c r="K40" i="130"/>
  <c r="G40" i="130"/>
  <c r="V39" i="130"/>
  <c r="M39" i="130" s="1"/>
  <c r="U39" i="130"/>
  <c r="O39" i="130"/>
  <c r="K39" i="130"/>
  <c r="G39" i="130"/>
  <c r="X38" i="130"/>
  <c r="W38" i="130"/>
  <c r="V38" i="130"/>
  <c r="M38" i="130" s="1"/>
  <c r="O38" i="130"/>
  <c r="K38" i="130"/>
  <c r="G38" i="130"/>
  <c r="AD37" i="130"/>
  <c r="K21" i="129" s="1"/>
  <c r="Z37" i="130"/>
  <c r="Y37" i="130"/>
  <c r="O37" i="130"/>
  <c r="K37" i="130"/>
  <c r="V36" i="130"/>
  <c r="M36" i="130" s="1"/>
  <c r="U36" i="130"/>
  <c r="O36" i="130"/>
  <c r="K36" i="130"/>
  <c r="G36" i="130"/>
  <c r="V35" i="130"/>
  <c r="M35" i="130" s="1"/>
  <c r="U35" i="130"/>
  <c r="O35" i="130"/>
  <c r="K35" i="130"/>
  <c r="G35" i="130"/>
  <c r="V34" i="130"/>
  <c r="M34" i="130" s="1"/>
  <c r="U34" i="130"/>
  <c r="O34" i="130"/>
  <c r="K34" i="130"/>
  <c r="G34" i="130"/>
  <c r="X33" i="130"/>
  <c r="W33" i="130"/>
  <c r="V33" i="130"/>
  <c r="M33" i="130" s="1"/>
  <c r="U33" i="130"/>
  <c r="O33" i="130"/>
  <c r="K33" i="130"/>
  <c r="G33" i="130"/>
  <c r="V32" i="130"/>
  <c r="M32" i="130" s="1"/>
  <c r="U32" i="130"/>
  <c r="O32" i="130"/>
  <c r="K32" i="130"/>
  <c r="G32" i="130"/>
  <c r="V31" i="130"/>
  <c r="M31" i="130" s="1"/>
  <c r="U31" i="130"/>
  <c r="O31" i="130"/>
  <c r="K31" i="130"/>
  <c r="G31" i="130"/>
  <c r="V30" i="130"/>
  <c r="U30" i="130"/>
  <c r="O30" i="130"/>
  <c r="N30" i="130"/>
  <c r="Q30" i="130" s="1"/>
  <c r="M30" i="130"/>
  <c r="AF30" i="130" s="1"/>
  <c r="K30" i="130"/>
  <c r="G30" i="130"/>
  <c r="X29" i="130"/>
  <c r="W29" i="130"/>
  <c r="V29" i="130"/>
  <c r="M29" i="130" s="1"/>
  <c r="O29" i="130"/>
  <c r="K29" i="130"/>
  <c r="G29" i="130"/>
  <c r="AD28" i="130"/>
  <c r="G21" i="129" s="1"/>
  <c r="Z28" i="130"/>
  <c r="G19" i="129" s="1"/>
  <c r="Y28" i="130"/>
  <c r="O28" i="130"/>
  <c r="K28" i="130"/>
  <c r="V27" i="130"/>
  <c r="U27" i="130"/>
  <c r="O27" i="130"/>
  <c r="N27" i="130"/>
  <c r="Q27" i="130" s="1"/>
  <c r="M27" i="130"/>
  <c r="AF27" i="130" s="1"/>
  <c r="K27" i="130"/>
  <c r="G27" i="130"/>
  <c r="V26" i="130"/>
  <c r="U26" i="130"/>
  <c r="O26" i="130"/>
  <c r="M26" i="130"/>
  <c r="AE26" i="130" s="1"/>
  <c r="K26" i="130"/>
  <c r="G26" i="130"/>
  <c r="V25" i="130"/>
  <c r="U25" i="130"/>
  <c r="O25" i="130"/>
  <c r="M25" i="130"/>
  <c r="AF25" i="130" s="1"/>
  <c r="K25" i="130"/>
  <c r="G25" i="130"/>
  <c r="V24" i="130"/>
  <c r="U24" i="130"/>
  <c r="O24" i="130"/>
  <c r="M24" i="130"/>
  <c r="AF24" i="130" s="1"/>
  <c r="K24" i="130"/>
  <c r="G24" i="130"/>
  <c r="F1" i="130" s="1"/>
  <c r="V23" i="130"/>
  <c r="U23" i="130"/>
  <c r="O23" i="130"/>
  <c r="M23" i="130"/>
  <c r="AE23" i="130" s="1"/>
  <c r="K23" i="130"/>
  <c r="G23" i="130"/>
  <c r="V22" i="130"/>
  <c r="O22" i="130"/>
  <c r="M22" i="130"/>
  <c r="AE22" i="130" s="1"/>
  <c r="K22" i="130"/>
  <c r="G22" i="130"/>
  <c r="AD21" i="130"/>
  <c r="Z21" i="130"/>
  <c r="Y21" i="130"/>
  <c r="O21" i="130"/>
  <c r="K21" i="130"/>
  <c r="F13" i="129" s="1"/>
  <c r="V20" i="130"/>
  <c r="M20" i="130" s="1"/>
  <c r="U20" i="130"/>
  <c r="O20" i="130"/>
  <c r="K20" i="130"/>
  <c r="G20" i="130"/>
  <c r="V19" i="130"/>
  <c r="M19" i="130" s="1"/>
  <c r="U19" i="130"/>
  <c r="O19" i="130"/>
  <c r="K19" i="130"/>
  <c r="G19" i="130"/>
  <c r="V18" i="130"/>
  <c r="M18" i="130" s="1"/>
  <c r="U18" i="130"/>
  <c r="O18" i="130"/>
  <c r="K18" i="130"/>
  <c r="G18" i="130"/>
  <c r="V17" i="130"/>
  <c r="M17" i="130" s="1"/>
  <c r="U17" i="130"/>
  <c r="O17" i="130"/>
  <c r="K17" i="130"/>
  <c r="G17" i="130"/>
  <c r="V16" i="130"/>
  <c r="M16" i="130" s="1"/>
  <c r="U16" i="130"/>
  <c r="O16" i="130"/>
  <c r="K16" i="130"/>
  <c r="G16" i="130"/>
  <c r="V15" i="130"/>
  <c r="M15" i="130" s="1"/>
  <c r="U15" i="130"/>
  <c r="O15" i="130"/>
  <c r="K15" i="130"/>
  <c r="G15" i="130"/>
  <c r="X14" i="130"/>
  <c r="W14" i="130"/>
  <c r="V14" i="130"/>
  <c r="M14" i="130" s="1"/>
  <c r="O14" i="130"/>
  <c r="K14" i="130"/>
  <c r="G14" i="130"/>
  <c r="AD13" i="130"/>
  <c r="E21" i="129" s="1"/>
  <c r="Z13" i="130"/>
  <c r="E19" i="129" s="1"/>
  <c r="Y13" i="130"/>
  <c r="E18" i="129" s="1"/>
  <c r="O13" i="130"/>
  <c r="K13" i="130"/>
  <c r="E13" i="129" s="1"/>
  <c r="V12" i="130"/>
  <c r="M12" i="130" s="1"/>
  <c r="U12" i="130"/>
  <c r="O12" i="130"/>
  <c r="K12" i="130"/>
  <c r="G12" i="130"/>
  <c r="X11" i="130"/>
  <c r="W11" i="130"/>
  <c r="V11" i="130"/>
  <c r="M11" i="130" s="1"/>
  <c r="U11" i="130"/>
  <c r="O11" i="130"/>
  <c r="K11" i="130"/>
  <c r="G11" i="130"/>
  <c r="V10" i="130"/>
  <c r="M10" i="130" s="1"/>
  <c r="U10" i="130"/>
  <c r="O10" i="130"/>
  <c r="K10" i="130"/>
  <c r="G10" i="130"/>
  <c r="X9" i="130"/>
  <c r="W9" i="130"/>
  <c r="V9" i="130"/>
  <c r="M9" i="130" s="1"/>
  <c r="O9" i="130"/>
  <c r="K9" i="130"/>
  <c r="G9" i="130"/>
  <c r="AD8" i="130"/>
  <c r="AD2" i="130" s="1"/>
  <c r="N6" i="129" s="1"/>
  <c r="Z8" i="130"/>
  <c r="Z2" i="130" s="1"/>
  <c r="L6" i="129" s="1"/>
  <c r="Y8" i="130"/>
  <c r="D18" i="129" s="1"/>
  <c r="O8" i="130"/>
  <c r="K8" i="130"/>
  <c r="D13" i="129" s="1"/>
  <c r="V7" i="130"/>
  <c r="M7" i="130" s="1"/>
  <c r="U7" i="130"/>
  <c r="O7" i="130"/>
  <c r="K7" i="130"/>
  <c r="G7" i="130"/>
  <c r="V6" i="130"/>
  <c r="U6" i="130"/>
  <c r="O6" i="130"/>
  <c r="N6" i="130"/>
  <c r="Q6" i="130" s="1"/>
  <c r="M6" i="130"/>
  <c r="AF6" i="130" s="1"/>
  <c r="K6" i="130"/>
  <c r="G6" i="130"/>
  <c r="V5" i="130"/>
  <c r="O5" i="130"/>
  <c r="N5" i="130"/>
  <c r="Q5" i="130" s="1"/>
  <c r="M5" i="130"/>
  <c r="AF5" i="130" s="1"/>
  <c r="K5" i="130"/>
  <c r="G5" i="130"/>
  <c r="H2" i="130"/>
  <c r="H1" i="130"/>
  <c r="D1" i="130"/>
  <c r="F3" i="129" s="1"/>
  <c r="M22" i="129"/>
  <c r="L22" i="129"/>
  <c r="K22" i="129"/>
  <c r="J22" i="129"/>
  <c r="I22" i="129"/>
  <c r="H22" i="129"/>
  <c r="G22" i="129"/>
  <c r="F22" i="129"/>
  <c r="E22" i="129"/>
  <c r="D22" i="129"/>
  <c r="M21" i="129"/>
  <c r="L21" i="129"/>
  <c r="J21" i="129"/>
  <c r="F21" i="129"/>
  <c r="M20" i="129"/>
  <c r="L20" i="129"/>
  <c r="K20" i="129"/>
  <c r="J20" i="129"/>
  <c r="I20" i="129"/>
  <c r="H20" i="129"/>
  <c r="G20" i="129"/>
  <c r="F20" i="129"/>
  <c r="E20" i="129"/>
  <c r="D20" i="129"/>
  <c r="L19" i="129"/>
  <c r="K19" i="129"/>
  <c r="J19" i="129"/>
  <c r="I19" i="129"/>
  <c r="H19" i="129"/>
  <c r="F19" i="129"/>
  <c r="M18" i="129"/>
  <c r="K18" i="129"/>
  <c r="J18" i="129"/>
  <c r="H18" i="129"/>
  <c r="G18" i="129"/>
  <c r="F18" i="129"/>
  <c r="M17" i="129"/>
  <c r="L17" i="129"/>
  <c r="K17" i="129"/>
  <c r="J17" i="129"/>
  <c r="I17" i="129"/>
  <c r="H17" i="129"/>
  <c r="G17" i="129"/>
  <c r="F17" i="129"/>
  <c r="E17" i="129"/>
  <c r="D17" i="129"/>
  <c r="M16" i="129"/>
  <c r="L16" i="129"/>
  <c r="K16" i="129"/>
  <c r="J16" i="129"/>
  <c r="I16" i="129"/>
  <c r="H16" i="129"/>
  <c r="G16" i="129"/>
  <c r="F16" i="129"/>
  <c r="E16" i="129"/>
  <c r="D16" i="129"/>
  <c r="K13" i="129"/>
  <c r="I6" i="129" s="1"/>
  <c r="J13" i="129"/>
  <c r="I13" i="129"/>
  <c r="H13" i="129"/>
  <c r="G13" i="129"/>
  <c r="M6" i="129"/>
  <c r="C3" i="129"/>
  <c r="G8" i="139" l="1"/>
  <c r="F8" i="139"/>
  <c r="E8" i="139"/>
  <c r="G7" i="135"/>
  <c r="E7" i="135"/>
  <c r="G8" i="135"/>
  <c r="F8" i="135"/>
  <c r="F7" i="135"/>
  <c r="L15" i="135"/>
  <c r="I8" i="135" s="1"/>
  <c r="I7" i="135"/>
  <c r="G14" i="133"/>
  <c r="G15" i="133" s="1"/>
  <c r="Q28" i="134"/>
  <c r="R22" i="134" s="1"/>
  <c r="P28" i="134"/>
  <c r="P8" i="134"/>
  <c r="D14" i="133"/>
  <c r="Q8" i="134"/>
  <c r="R5" i="134" s="1"/>
  <c r="D2" i="134"/>
  <c r="K15" i="133"/>
  <c r="I8" i="133" s="1"/>
  <c r="I7" i="133"/>
  <c r="Q24" i="132"/>
  <c r="P24" i="132"/>
  <c r="Q30" i="132"/>
  <c r="P30" i="132"/>
  <c r="Q61" i="132"/>
  <c r="P61" i="132"/>
  <c r="Q36" i="132"/>
  <c r="P36" i="132"/>
  <c r="Q49" i="132"/>
  <c r="P49" i="132"/>
  <c r="Q20" i="132"/>
  <c r="P20" i="132"/>
  <c r="N51" i="132"/>
  <c r="AF51" i="132"/>
  <c r="AG42" i="132" s="1"/>
  <c r="AE51" i="132"/>
  <c r="Q33" i="132"/>
  <c r="P33" i="132"/>
  <c r="Q11" i="132"/>
  <c r="P11" i="132"/>
  <c r="N70" i="132"/>
  <c r="AF70" i="132"/>
  <c r="AG66" i="132" s="1"/>
  <c r="AE70" i="132"/>
  <c r="Q16" i="132"/>
  <c r="P16" i="132"/>
  <c r="N17" i="132"/>
  <c r="AF17" i="132"/>
  <c r="AG9" i="132" s="1"/>
  <c r="AE17" i="132"/>
  <c r="Q15" i="132"/>
  <c r="P15" i="132"/>
  <c r="Q67" i="132"/>
  <c r="P67" i="132"/>
  <c r="Q66" i="132"/>
  <c r="P66" i="132"/>
  <c r="Q39" i="132"/>
  <c r="P39" i="132"/>
  <c r="AF8" i="132"/>
  <c r="AG5" i="132" s="1"/>
  <c r="AE8" i="132"/>
  <c r="N8" i="132"/>
  <c r="Q60" i="132"/>
  <c r="P60" i="132"/>
  <c r="P69" i="132"/>
  <c r="Q69" i="132"/>
  <c r="Q58" i="132"/>
  <c r="P58" i="132"/>
  <c r="Q34" i="132"/>
  <c r="P34" i="132"/>
  <c r="Q12" i="132"/>
  <c r="P12" i="132"/>
  <c r="AF32" i="132"/>
  <c r="AG26" i="132" s="1"/>
  <c r="AE32" i="132"/>
  <c r="N32" i="132"/>
  <c r="Q7" i="132"/>
  <c r="P7" i="132"/>
  <c r="N65" i="132"/>
  <c r="AF65" i="132"/>
  <c r="AG58" i="132" s="1"/>
  <c r="AE65" i="132"/>
  <c r="Q71" i="132"/>
  <c r="P71" i="132"/>
  <c r="Q62" i="132"/>
  <c r="P62" i="132"/>
  <c r="Q19" i="132"/>
  <c r="P19" i="132"/>
  <c r="Q31" i="132"/>
  <c r="P31" i="132"/>
  <c r="Q43" i="132"/>
  <c r="P43" i="132"/>
  <c r="Q35" i="132"/>
  <c r="P35" i="132"/>
  <c r="Q63" i="132"/>
  <c r="P63" i="132"/>
  <c r="Q40" i="132"/>
  <c r="P40" i="132"/>
  <c r="Q74" i="132"/>
  <c r="P74" i="132"/>
  <c r="N41" i="132"/>
  <c r="AF41" i="132"/>
  <c r="AG33" i="132" s="1"/>
  <c r="AE41" i="132"/>
  <c r="Q73" i="132"/>
  <c r="P73" i="132"/>
  <c r="Q28" i="132"/>
  <c r="P28" i="132"/>
  <c r="Q76" i="132"/>
  <c r="P76" i="132"/>
  <c r="Q52" i="132"/>
  <c r="P52" i="132"/>
  <c r="Q38" i="132"/>
  <c r="P38" i="132"/>
  <c r="AF79" i="132"/>
  <c r="AG71" i="132" s="1"/>
  <c r="AE79" i="132"/>
  <c r="N79" i="132"/>
  <c r="Q10" i="132"/>
  <c r="P10" i="132"/>
  <c r="Q68" i="132"/>
  <c r="P68" i="132"/>
  <c r="Q64" i="132"/>
  <c r="P64" i="132"/>
  <c r="Q14" i="132"/>
  <c r="P14" i="132"/>
  <c r="P72" i="132"/>
  <c r="Q72" i="132"/>
  <c r="Q13" i="132"/>
  <c r="P13" i="132"/>
  <c r="Q37" i="132"/>
  <c r="P37" i="132"/>
  <c r="N25" i="132"/>
  <c r="AF25" i="132"/>
  <c r="AG18" i="132" s="1"/>
  <c r="AE25" i="132"/>
  <c r="Q9" i="132"/>
  <c r="P9" i="132"/>
  <c r="Q55" i="132"/>
  <c r="P55" i="132"/>
  <c r="AE57" i="132"/>
  <c r="N57" i="132"/>
  <c r="AF57" i="132"/>
  <c r="AG52" i="132" s="1"/>
  <c r="N20" i="130"/>
  <c r="AF20" i="130"/>
  <c r="AE20" i="130"/>
  <c r="P42" i="130"/>
  <c r="Q42" i="130"/>
  <c r="AF15" i="130"/>
  <c r="AE15" i="130"/>
  <c r="N15" i="130"/>
  <c r="N39" i="130"/>
  <c r="AF39" i="130"/>
  <c r="AE39" i="130"/>
  <c r="N35" i="130"/>
  <c r="AF35" i="130"/>
  <c r="AE35" i="130"/>
  <c r="N59" i="130"/>
  <c r="M63" i="130"/>
  <c r="AF59" i="130"/>
  <c r="AE59" i="130"/>
  <c r="N9" i="130"/>
  <c r="M13" i="130"/>
  <c r="AF9" i="130"/>
  <c r="AE9" i="130"/>
  <c r="N11" i="130"/>
  <c r="AF11" i="130"/>
  <c r="AE11" i="130"/>
  <c r="N43" i="130"/>
  <c r="AE43" i="130"/>
  <c r="AF43" i="130"/>
  <c r="P47" i="130"/>
  <c r="Q47" i="130"/>
  <c r="AF56" i="130"/>
  <c r="AE56" i="130"/>
  <c r="N56" i="130"/>
  <c r="N61" i="130"/>
  <c r="AF61" i="130"/>
  <c r="AE61" i="130"/>
  <c r="N65" i="130"/>
  <c r="AE65" i="130"/>
  <c r="M70" i="130"/>
  <c r="AF65" i="130"/>
  <c r="Q64" i="130"/>
  <c r="P64" i="130"/>
  <c r="N18" i="130"/>
  <c r="AF18" i="130"/>
  <c r="AE18" i="130"/>
  <c r="N29" i="130"/>
  <c r="AF29" i="130"/>
  <c r="AE29" i="130"/>
  <c r="M37" i="130"/>
  <c r="N33" i="130"/>
  <c r="AF33" i="130"/>
  <c r="AE33" i="130"/>
  <c r="AF7" i="130"/>
  <c r="AE7" i="130"/>
  <c r="N7" i="130"/>
  <c r="P44" i="130"/>
  <c r="Q44" i="130"/>
  <c r="P66" i="130"/>
  <c r="Q66" i="130"/>
  <c r="G6" i="129"/>
  <c r="F6" i="129"/>
  <c r="E6" i="129"/>
  <c r="N14" i="130"/>
  <c r="AF14" i="130"/>
  <c r="AE14" i="130"/>
  <c r="M21" i="130"/>
  <c r="N16" i="130"/>
  <c r="AE16" i="130"/>
  <c r="AF16" i="130"/>
  <c r="AF31" i="130"/>
  <c r="AE31" i="130"/>
  <c r="N31" i="130"/>
  <c r="N38" i="130"/>
  <c r="AF38" i="130"/>
  <c r="AE38" i="130"/>
  <c r="M45" i="130"/>
  <c r="N40" i="130"/>
  <c r="AF40" i="130"/>
  <c r="AE40" i="130"/>
  <c r="Q46" i="130"/>
  <c r="P46" i="130"/>
  <c r="N17" i="130"/>
  <c r="AF17" i="130"/>
  <c r="AE17" i="130"/>
  <c r="N41" i="130"/>
  <c r="AE41" i="130"/>
  <c r="AF41" i="130"/>
  <c r="N62" i="130"/>
  <c r="AE62" i="130"/>
  <c r="AF62" i="130"/>
  <c r="N32" i="130"/>
  <c r="AE32" i="130"/>
  <c r="AF32" i="130"/>
  <c r="F2" i="130"/>
  <c r="I3" i="129"/>
  <c r="N57" i="130"/>
  <c r="AE57" i="130"/>
  <c r="AF57" i="130"/>
  <c r="Q68" i="130"/>
  <c r="P68" i="130"/>
  <c r="AF10" i="130"/>
  <c r="AE10" i="130"/>
  <c r="N10" i="130"/>
  <c r="AF12" i="130"/>
  <c r="AE12" i="130"/>
  <c r="N12" i="130"/>
  <c r="N19" i="130"/>
  <c r="AF19" i="130"/>
  <c r="AE19" i="130"/>
  <c r="N36" i="130"/>
  <c r="AF36" i="130"/>
  <c r="AE36" i="130"/>
  <c r="N60" i="130"/>
  <c r="AF60" i="130"/>
  <c r="AE60" i="130"/>
  <c r="N34" i="130"/>
  <c r="AE34" i="130"/>
  <c r="AF34" i="130"/>
  <c r="N26" i="130"/>
  <c r="N50" i="130"/>
  <c r="N51" i="130"/>
  <c r="N54" i="130"/>
  <c r="P5" i="130"/>
  <c r="P30" i="130"/>
  <c r="N53" i="130"/>
  <c r="AF22" i="130"/>
  <c r="AF23" i="130"/>
  <c r="AE46" i="130"/>
  <c r="AF48" i="130"/>
  <c r="AF67" i="130"/>
  <c r="AE68" i="130"/>
  <c r="AF69" i="130"/>
  <c r="P6" i="130"/>
  <c r="N25" i="130"/>
  <c r="P27" i="130"/>
  <c r="P55" i="130"/>
  <c r="N24" i="130"/>
  <c r="N49" i="130"/>
  <c r="N52" i="130"/>
  <c r="Y2" i="130"/>
  <c r="K6" i="129" s="1"/>
  <c r="AE5" i="130"/>
  <c r="AE6" i="130"/>
  <c r="AE27" i="130"/>
  <c r="AE30" i="130"/>
  <c r="AE55" i="130"/>
  <c r="D21" i="129"/>
  <c r="N22" i="130"/>
  <c r="N23" i="130"/>
  <c r="N48" i="130"/>
  <c r="N67" i="130"/>
  <c r="N69" i="130"/>
  <c r="D19" i="129"/>
  <c r="M8" i="130"/>
  <c r="AE25" i="130"/>
  <c r="AF26" i="130"/>
  <c r="AE50" i="130"/>
  <c r="AE53" i="130"/>
  <c r="AF54" i="130"/>
  <c r="AE24" i="130"/>
  <c r="M28" i="130"/>
  <c r="AE49" i="130"/>
  <c r="AE51" i="130"/>
  <c r="AE52" i="130"/>
  <c r="M58" i="130"/>
  <c r="E8" i="135" l="1"/>
  <c r="G7" i="133"/>
  <c r="F7" i="133"/>
  <c r="E7" i="133"/>
  <c r="D15" i="133"/>
  <c r="Q25" i="132"/>
  <c r="R18" i="132" s="1"/>
  <c r="P25" i="132"/>
  <c r="F14" i="131"/>
  <c r="F15" i="131" s="1"/>
  <c r="Q70" i="132"/>
  <c r="R66" i="132" s="1"/>
  <c r="P70" i="132"/>
  <c r="J14" i="131"/>
  <c r="J15" i="131" s="1"/>
  <c r="Q79" i="132"/>
  <c r="R71" i="132" s="1"/>
  <c r="P79" i="132"/>
  <c r="M14" i="131"/>
  <c r="M15" i="131" s="1"/>
  <c r="I14" i="131"/>
  <c r="I15" i="131" s="1"/>
  <c r="Q65" i="132"/>
  <c r="R58" i="132" s="1"/>
  <c r="P65" i="132"/>
  <c r="Q57" i="132"/>
  <c r="R52" i="132" s="1"/>
  <c r="P57" i="132"/>
  <c r="H14" i="131"/>
  <c r="H15" i="131" s="1"/>
  <c r="K14" i="131"/>
  <c r="Q41" i="132"/>
  <c r="R33" i="132" s="1"/>
  <c r="P41" i="132"/>
  <c r="Q32" i="132"/>
  <c r="R26" i="132" s="1"/>
  <c r="P32" i="132"/>
  <c r="G14" i="131"/>
  <c r="G15" i="131" s="1"/>
  <c r="D2" i="132"/>
  <c r="Q8" i="132"/>
  <c r="R5" i="132" s="1"/>
  <c r="P8" i="132"/>
  <c r="D14" i="131"/>
  <c r="E14" i="131"/>
  <c r="E15" i="131" s="1"/>
  <c r="Q17" i="132"/>
  <c r="R9" i="132" s="1"/>
  <c r="P17" i="132"/>
  <c r="Q51" i="132"/>
  <c r="R42" i="132" s="1"/>
  <c r="P51" i="132"/>
  <c r="L14" i="131"/>
  <c r="L15" i="131" s="1"/>
  <c r="Q19" i="130"/>
  <c r="P19" i="130"/>
  <c r="Q17" i="130"/>
  <c r="P17" i="130"/>
  <c r="N8" i="130"/>
  <c r="AE8" i="130"/>
  <c r="AF8" i="130"/>
  <c r="AG5" i="130" s="1"/>
  <c r="Q56" i="130"/>
  <c r="P56" i="130"/>
  <c r="P39" i="130"/>
  <c r="Q39" i="130"/>
  <c r="P29" i="130"/>
  <c r="Q29" i="130"/>
  <c r="P34" i="130"/>
  <c r="Q34" i="130"/>
  <c r="N13" i="130"/>
  <c r="AE13" i="130"/>
  <c r="AF13" i="130"/>
  <c r="AG9" i="130" s="1"/>
  <c r="Q15" i="130"/>
  <c r="P15" i="130"/>
  <c r="P57" i="130"/>
  <c r="Q57" i="130"/>
  <c r="Q31" i="130"/>
  <c r="P31" i="130"/>
  <c r="Q61" i="130"/>
  <c r="P61" i="130"/>
  <c r="N58" i="130"/>
  <c r="AF58" i="130"/>
  <c r="AG51" i="130" s="1"/>
  <c r="AE58" i="130"/>
  <c r="Q69" i="130"/>
  <c r="P69" i="130"/>
  <c r="Q52" i="130"/>
  <c r="P52" i="130"/>
  <c r="Q10" i="130"/>
  <c r="P10" i="130"/>
  <c r="P32" i="130"/>
  <c r="Q32" i="130"/>
  <c r="Q16" i="130"/>
  <c r="P16" i="130"/>
  <c r="Q7" i="130"/>
  <c r="P7" i="130"/>
  <c r="P18" i="130"/>
  <c r="Q18" i="130"/>
  <c r="Q9" i="130"/>
  <c r="P9" i="130"/>
  <c r="Q35" i="130"/>
  <c r="P35" i="130"/>
  <c r="H14" i="129"/>
  <c r="H15" i="129" s="1"/>
  <c r="Q50" i="130"/>
  <c r="R46" i="130" s="1"/>
  <c r="P50" i="130"/>
  <c r="Q26" i="130"/>
  <c r="P26" i="130"/>
  <c r="P11" i="130"/>
  <c r="Q11" i="130"/>
  <c r="Q12" i="130"/>
  <c r="P12" i="130"/>
  <c r="Q67" i="130"/>
  <c r="P67" i="130"/>
  <c r="Q48" i="130"/>
  <c r="P48" i="130"/>
  <c r="Q24" i="130"/>
  <c r="P24" i="130"/>
  <c r="P53" i="130"/>
  <c r="Q53" i="130"/>
  <c r="P60" i="130"/>
  <c r="Q60" i="130"/>
  <c r="Q40" i="130"/>
  <c r="P40" i="130"/>
  <c r="Q49" i="130"/>
  <c r="P49" i="130"/>
  <c r="N21" i="130"/>
  <c r="AF21" i="130"/>
  <c r="AG14" i="130" s="1"/>
  <c r="AE21" i="130"/>
  <c r="N28" i="130"/>
  <c r="AF28" i="130"/>
  <c r="AG22" i="130" s="1"/>
  <c r="AE28" i="130"/>
  <c r="Q23" i="130"/>
  <c r="P23" i="130"/>
  <c r="Q62" i="130"/>
  <c r="P62" i="130"/>
  <c r="AE45" i="130"/>
  <c r="N45" i="130"/>
  <c r="AF45" i="130"/>
  <c r="AG38" i="130" s="1"/>
  <c r="N63" i="130"/>
  <c r="AF63" i="130"/>
  <c r="AG59" i="130" s="1"/>
  <c r="AE63" i="130"/>
  <c r="Q22" i="130"/>
  <c r="P22" i="130"/>
  <c r="Q14" i="130"/>
  <c r="P14" i="130"/>
  <c r="AF70" i="130"/>
  <c r="AG64" i="130" s="1"/>
  <c r="AE70" i="130"/>
  <c r="N70" i="130"/>
  <c r="P59" i="130"/>
  <c r="Q59" i="130"/>
  <c r="P25" i="130"/>
  <c r="Q25" i="130"/>
  <c r="Q54" i="130"/>
  <c r="P54" i="130"/>
  <c r="P36" i="130"/>
  <c r="Q36" i="130"/>
  <c r="Q33" i="130"/>
  <c r="P33" i="130"/>
  <c r="Q43" i="130"/>
  <c r="P43" i="130"/>
  <c r="Q51" i="130"/>
  <c r="P51" i="130"/>
  <c r="Q41" i="130"/>
  <c r="P41" i="130"/>
  <c r="Q38" i="130"/>
  <c r="P38" i="130"/>
  <c r="N37" i="130"/>
  <c r="AF37" i="130"/>
  <c r="AG29" i="130" s="1"/>
  <c r="AE37" i="130"/>
  <c r="Q65" i="130"/>
  <c r="P65" i="130"/>
  <c r="Q20" i="130"/>
  <c r="P20" i="130"/>
  <c r="AF73" i="126"/>
  <c r="AE73" i="126"/>
  <c r="AD73" i="126"/>
  <c r="Z73" i="126"/>
  <c r="Y73" i="126"/>
  <c r="O73" i="126"/>
  <c r="N73" i="126"/>
  <c r="Q73" i="126" s="1"/>
  <c r="R67" i="126" s="1"/>
  <c r="M73" i="126"/>
  <c r="K73" i="126"/>
  <c r="AF72" i="126"/>
  <c r="AE72" i="126"/>
  <c r="V72" i="126"/>
  <c r="U72" i="126"/>
  <c r="Q72" i="126"/>
  <c r="P72" i="126"/>
  <c r="O72" i="126"/>
  <c r="N72" i="126"/>
  <c r="M72" i="126"/>
  <c r="K72" i="126"/>
  <c r="G72" i="126"/>
  <c r="AF71" i="126"/>
  <c r="AE71" i="126"/>
  <c r="X71" i="126"/>
  <c r="W71" i="126"/>
  <c r="V71" i="126"/>
  <c r="U71" i="126"/>
  <c r="Q71" i="126"/>
  <c r="P71" i="126"/>
  <c r="O71" i="126"/>
  <c r="N71" i="126"/>
  <c r="M71" i="126"/>
  <c r="K71" i="126"/>
  <c r="G71" i="126"/>
  <c r="AF70" i="126"/>
  <c r="AE70" i="126"/>
  <c r="V70" i="126"/>
  <c r="U70" i="126"/>
  <c r="Q70" i="126"/>
  <c r="P70" i="126"/>
  <c r="O70" i="126"/>
  <c r="N70" i="126"/>
  <c r="M70" i="126"/>
  <c r="K70" i="126"/>
  <c r="G70" i="126"/>
  <c r="AF69" i="126"/>
  <c r="AE69" i="126"/>
  <c r="V69" i="126"/>
  <c r="U69" i="126"/>
  <c r="Q69" i="126"/>
  <c r="P69" i="126"/>
  <c r="O69" i="126"/>
  <c r="N69" i="126"/>
  <c r="M69" i="126"/>
  <c r="K69" i="126"/>
  <c r="G69" i="126"/>
  <c r="AF68" i="126"/>
  <c r="AE68" i="126"/>
  <c r="V68" i="126"/>
  <c r="U68" i="126"/>
  <c r="Q68" i="126"/>
  <c r="P68" i="126"/>
  <c r="O68" i="126"/>
  <c r="N68" i="126"/>
  <c r="M68" i="126"/>
  <c r="K68" i="126"/>
  <c r="G68" i="126"/>
  <c r="AG67" i="126"/>
  <c r="AF67" i="126"/>
  <c r="AE67" i="126"/>
  <c r="X67" i="126"/>
  <c r="W67" i="126"/>
  <c r="V67" i="126"/>
  <c r="Q67" i="126"/>
  <c r="P67" i="126"/>
  <c r="O67" i="126"/>
  <c r="N67" i="126"/>
  <c r="M67" i="126"/>
  <c r="K67" i="126"/>
  <c r="G67" i="126"/>
  <c r="AF66" i="126"/>
  <c r="AE66" i="126"/>
  <c r="AD66" i="126"/>
  <c r="Z66" i="126"/>
  <c r="Y66" i="126"/>
  <c r="O66" i="126"/>
  <c r="N66" i="126"/>
  <c r="Q66" i="126" s="1"/>
  <c r="R62" i="126" s="1"/>
  <c r="M66" i="126"/>
  <c r="K66" i="126"/>
  <c r="AF65" i="126"/>
  <c r="AE65" i="126"/>
  <c r="V65" i="126"/>
  <c r="U65" i="126"/>
  <c r="Q65" i="126"/>
  <c r="P65" i="126"/>
  <c r="O65" i="126"/>
  <c r="N65" i="126"/>
  <c r="M65" i="126"/>
  <c r="K65" i="126"/>
  <c r="G65" i="126"/>
  <c r="AF64" i="126"/>
  <c r="AE64" i="126"/>
  <c r="V64" i="126"/>
  <c r="U64" i="126"/>
  <c r="O64" i="126"/>
  <c r="N64" i="126"/>
  <c r="Q64" i="126" s="1"/>
  <c r="M64" i="126"/>
  <c r="K64" i="126"/>
  <c r="G64" i="126"/>
  <c r="AF63" i="126"/>
  <c r="AE63" i="126"/>
  <c r="V63" i="126"/>
  <c r="U63" i="126"/>
  <c r="Q63" i="126"/>
  <c r="P63" i="126"/>
  <c r="O63" i="126"/>
  <c r="N63" i="126"/>
  <c r="M63" i="126"/>
  <c r="K63" i="126"/>
  <c r="G63" i="126"/>
  <c r="AG62" i="126"/>
  <c r="AF62" i="126"/>
  <c r="AE62" i="126"/>
  <c r="V62" i="126"/>
  <c r="Q62" i="126"/>
  <c r="P62" i="126"/>
  <c r="O62" i="126"/>
  <c r="N62" i="126"/>
  <c r="M62" i="126"/>
  <c r="K62" i="126"/>
  <c r="G62" i="126"/>
  <c r="AF61" i="126"/>
  <c r="AE61" i="126"/>
  <c r="AD61" i="126"/>
  <c r="Z61" i="126"/>
  <c r="Y61" i="126"/>
  <c r="O61" i="126"/>
  <c r="M61" i="126"/>
  <c r="N61" i="126" s="1"/>
  <c r="K61" i="126"/>
  <c r="AF60" i="126"/>
  <c r="AE60" i="126"/>
  <c r="V60" i="126"/>
  <c r="U60" i="126"/>
  <c r="Q60" i="126"/>
  <c r="P60" i="126"/>
  <c r="O60" i="126"/>
  <c r="N60" i="126"/>
  <c r="M60" i="126"/>
  <c r="K60" i="126"/>
  <c r="G60" i="126"/>
  <c r="AF59" i="126"/>
  <c r="AE59" i="126"/>
  <c r="V59" i="126"/>
  <c r="U59" i="126"/>
  <c r="Q59" i="126"/>
  <c r="P59" i="126"/>
  <c r="O59" i="126"/>
  <c r="N59" i="126"/>
  <c r="M59" i="126"/>
  <c r="K59" i="126"/>
  <c r="G59" i="126"/>
  <c r="AF58" i="126"/>
  <c r="AE58" i="126"/>
  <c r="V58" i="126"/>
  <c r="U58" i="126"/>
  <c r="Q58" i="126"/>
  <c r="P58" i="126"/>
  <c r="O58" i="126"/>
  <c r="N58" i="126"/>
  <c r="M58" i="126"/>
  <c r="K58" i="126"/>
  <c r="G58" i="126"/>
  <c r="AF57" i="126"/>
  <c r="AE57" i="126"/>
  <c r="V57" i="126"/>
  <c r="U57" i="126"/>
  <c r="Q57" i="126"/>
  <c r="P57" i="126"/>
  <c r="O57" i="126"/>
  <c r="N57" i="126"/>
  <c r="M57" i="126"/>
  <c r="K57" i="126"/>
  <c r="G57" i="126"/>
  <c r="AF56" i="126"/>
  <c r="AE56" i="126"/>
  <c r="V56" i="126"/>
  <c r="U56" i="126"/>
  <c r="Q56" i="126"/>
  <c r="P56" i="126"/>
  <c r="O56" i="126"/>
  <c r="N56" i="126"/>
  <c r="M56" i="126"/>
  <c r="K56" i="126"/>
  <c r="G56" i="126"/>
  <c r="AF55" i="126"/>
  <c r="AE55" i="126"/>
  <c r="V55" i="126"/>
  <c r="U55" i="126"/>
  <c r="Q55" i="126"/>
  <c r="P55" i="126"/>
  <c r="O55" i="126"/>
  <c r="N55" i="126"/>
  <c r="M55" i="126"/>
  <c r="K55" i="126"/>
  <c r="G55" i="126"/>
  <c r="AG54" i="126"/>
  <c r="AF54" i="126"/>
  <c r="AE54" i="126"/>
  <c r="X54" i="126"/>
  <c r="W54" i="126"/>
  <c r="V54" i="126"/>
  <c r="Q54" i="126"/>
  <c r="P54" i="126"/>
  <c r="O54" i="126"/>
  <c r="N54" i="126"/>
  <c r="M54" i="126"/>
  <c r="K54" i="126"/>
  <c r="G54" i="126"/>
  <c r="AF53" i="126"/>
  <c r="AE53" i="126"/>
  <c r="AD53" i="126"/>
  <c r="Z53" i="126"/>
  <c r="Y53" i="126"/>
  <c r="O53" i="126"/>
  <c r="N53" i="126"/>
  <c r="M53" i="126"/>
  <c r="K53" i="126"/>
  <c r="AF52" i="126"/>
  <c r="AE52" i="126"/>
  <c r="V52" i="126"/>
  <c r="U52" i="126"/>
  <c r="Q52" i="126"/>
  <c r="P52" i="126"/>
  <c r="O52" i="126"/>
  <c r="N52" i="126"/>
  <c r="M52" i="126"/>
  <c r="K52" i="126"/>
  <c r="G52" i="126"/>
  <c r="AF51" i="126"/>
  <c r="AE51" i="126"/>
  <c r="V51" i="126"/>
  <c r="U51" i="126"/>
  <c r="Q51" i="126"/>
  <c r="P51" i="126"/>
  <c r="O51" i="126"/>
  <c r="N51" i="126"/>
  <c r="M51" i="126"/>
  <c r="K51" i="126"/>
  <c r="G51" i="126"/>
  <c r="AF50" i="126"/>
  <c r="AE50" i="126"/>
  <c r="V50" i="126"/>
  <c r="U50" i="126"/>
  <c r="O50" i="126"/>
  <c r="N50" i="126"/>
  <c r="Q50" i="126" s="1"/>
  <c r="M50" i="126"/>
  <c r="K50" i="126"/>
  <c r="G50" i="126"/>
  <c r="AG49" i="126"/>
  <c r="AF49" i="126"/>
  <c r="AE49" i="126"/>
  <c r="X49" i="126"/>
  <c r="W49" i="126"/>
  <c r="V49" i="126"/>
  <c r="Q49" i="126"/>
  <c r="P49" i="126"/>
  <c r="O49" i="126"/>
  <c r="N49" i="126"/>
  <c r="M49" i="126"/>
  <c r="K49" i="126"/>
  <c r="G49" i="126"/>
  <c r="AF48" i="126"/>
  <c r="AG40" i="126" s="1"/>
  <c r="AE48" i="126"/>
  <c r="AD48" i="126"/>
  <c r="Z48" i="126"/>
  <c r="Y48" i="126"/>
  <c r="O48" i="126"/>
  <c r="N48" i="126"/>
  <c r="P48" i="126" s="1"/>
  <c r="M48" i="126"/>
  <c r="K48" i="126"/>
  <c r="AF47" i="126"/>
  <c r="AE47" i="126"/>
  <c r="V47" i="126"/>
  <c r="U47" i="126"/>
  <c r="O47" i="126"/>
  <c r="N47" i="126"/>
  <c r="Q47" i="126" s="1"/>
  <c r="M47" i="126"/>
  <c r="K47" i="126"/>
  <c r="G47" i="126"/>
  <c r="AF46" i="126"/>
  <c r="AE46" i="126"/>
  <c r="V46" i="126"/>
  <c r="U46" i="126"/>
  <c r="Q46" i="126"/>
  <c r="P46" i="126"/>
  <c r="O46" i="126"/>
  <c r="N46" i="126"/>
  <c r="M46" i="126"/>
  <c r="K46" i="126"/>
  <c r="G46" i="126"/>
  <c r="AF45" i="126"/>
  <c r="AE45" i="126"/>
  <c r="V45" i="126"/>
  <c r="U45" i="126"/>
  <c r="O45" i="126"/>
  <c r="N45" i="126"/>
  <c r="Q45" i="126" s="1"/>
  <c r="M45" i="126"/>
  <c r="K45" i="126"/>
  <c r="G45" i="126"/>
  <c r="AF44" i="126"/>
  <c r="AE44" i="126"/>
  <c r="X44" i="126"/>
  <c r="W44" i="126"/>
  <c r="V44" i="126"/>
  <c r="U44" i="126"/>
  <c r="Q44" i="126"/>
  <c r="P44" i="126"/>
  <c r="O44" i="126"/>
  <c r="N44" i="126"/>
  <c r="M44" i="126"/>
  <c r="K44" i="126"/>
  <c r="G44" i="126"/>
  <c r="AF43" i="126"/>
  <c r="AE43" i="126"/>
  <c r="V43" i="126"/>
  <c r="U43" i="126"/>
  <c r="O43" i="126"/>
  <c r="N43" i="126"/>
  <c r="Q43" i="126" s="1"/>
  <c r="M43" i="126"/>
  <c r="K43" i="126"/>
  <c r="G43" i="126"/>
  <c r="AF42" i="126"/>
  <c r="AE42" i="126"/>
  <c r="V42" i="126"/>
  <c r="U42" i="126"/>
  <c r="Q42" i="126"/>
  <c r="P42" i="126"/>
  <c r="O42" i="126"/>
  <c r="N42" i="126"/>
  <c r="M42" i="126"/>
  <c r="K42" i="126"/>
  <c r="G42" i="126"/>
  <c r="AF41" i="126"/>
  <c r="AE41" i="126"/>
  <c r="V41" i="126"/>
  <c r="U41" i="126"/>
  <c r="Q41" i="126"/>
  <c r="P41" i="126"/>
  <c r="O41" i="126"/>
  <c r="N41" i="126"/>
  <c r="M41" i="126"/>
  <c r="K41" i="126"/>
  <c r="G41" i="126"/>
  <c r="AF40" i="126"/>
  <c r="AE40" i="126"/>
  <c r="X40" i="126"/>
  <c r="W40" i="126"/>
  <c r="V40" i="126"/>
  <c r="O40" i="126"/>
  <c r="N40" i="126"/>
  <c r="Q40" i="126" s="1"/>
  <c r="M40" i="126"/>
  <c r="K40" i="126"/>
  <c r="G40" i="126"/>
  <c r="AF39" i="126"/>
  <c r="AG31" i="126" s="1"/>
  <c r="AE39" i="126"/>
  <c r="AD39" i="126"/>
  <c r="Z39" i="126"/>
  <c r="Y39" i="126"/>
  <c r="O39" i="126"/>
  <c r="M39" i="126"/>
  <c r="N39" i="126" s="1"/>
  <c r="K39" i="126"/>
  <c r="AF38" i="126"/>
  <c r="AE38" i="126"/>
  <c r="V38" i="126"/>
  <c r="U38" i="126"/>
  <c r="Q38" i="126"/>
  <c r="P38" i="126"/>
  <c r="O38" i="126"/>
  <c r="N38" i="126"/>
  <c r="M38" i="126"/>
  <c r="K38" i="126"/>
  <c r="G38" i="126"/>
  <c r="AF37" i="126"/>
  <c r="AE37" i="126"/>
  <c r="V37" i="126"/>
  <c r="U37" i="126"/>
  <c r="Q37" i="126"/>
  <c r="P37" i="126"/>
  <c r="O37" i="126"/>
  <c r="N37" i="126"/>
  <c r="M37" i="126"/>
  <c r="K37" i="126"/>
  <c r="G37" i="126"/>
  <c r="AF36" i="126"/>
  <c r="AE36" i="126"/>
  <c r="V36" i="126"/>
  <c r="U36" i="126"/>
  <c r="Q36" i="126"/>
  <c r="P36" i="126"/>
  <c r="O36" i="126"/>
  <c r="N36" i="126"/>
  <c r="M36" i="126"/>
  <c r="K36" i="126"/>
  <c r="G36" i="126"/>
  <c r="AF35" i="126"/>
  <c r="AE35" i="126"/>
  <c r="X35" i="126"/>
  <c r="W35" i="126"/>
  <c r="V35" i="126"/>
  <c r="U35" i="126"/>
  <c r="Q35" i="126"/>
  <c r="P35" i="126"/>
  <c r="O35" i="126"/>
  <c r="N35" i="126"/>
  <c r="M35" i="126"/>
  <c r="K35" i="126"/>
  <c r="G35" i="126"/>
  <c r="AF34" i="126"/>
  <c r="AE34" i="126"/>
  <c r="V34" i="126"/>
  <c r="U34" i="126"/>
  <c r="Q34" i="126"/>
  <c r="P34" i="126"/>
  <c r="O34" i="126"/>
  <c r="N34" i="126"/>
  <c r="M34" i="126"/>
  <c r="K34" i="126"/>
  <c r="G34" i="126"/>
  <c r="AF33" i="126"/>
  <c r="AE33" i="126"/>
  <c r="V33" i="126"/>
  <c r="U33" i="126"/>
  <c r="Q33" i="126"/>
  <c r="P33" i="126"/>
  <c r="O33" i="126"/>
  <c r="N33" i="126"/>
  <c r="M33" i="126"/>
  <c r="K33" i="126"/>
  <c r="G33" i="126"/>
  <c r="AF32" i="126"/>
  <c r="AE32" i="126"/>
  <c r="V32" i="126"/>
  <c r="U32" i="126"/>
  <c r="Q32" i="126"/>
  <c r="P32" i="126"/>
  <c r="O32" i="126"/>
  <c r="N32" i="126"/>
  <c r="M32" i="126"/>
  <c r="K32" i="126"/>
  <c r="G32" i="126"/>
  <c r="AF31" i="126"/>
  <c r="AE31" i="126"/>
  <c r="X31" i="126"/>
  <c r="W31" i="126"/>
  <c r="V31" i="126"/>
  <c r="Q31" i="126"/>
  <c r="P31" i="126"/>
  <c r="O31" i="126"/>
  <c r="N31" i="126"/>
  <c r="M31" i="126"/>
  <c r="K31" i="126"/>
  <c r="G31" i="126"/>
  <c r="AF30" i="126"/>
  <c r="AE30" i="126"/>
  <c r="AD30" i="126"/>
  <c r="Z30" i="126"/>
  <c r="Y30" i="126"/>
  <c r="O30" i="126"/>
  <c r="N30" i="126"/>
  <c r="Q30" i="126" s="1"/>
  <c r="R23" i="126" s="1"/>
  <c r="M30" i="126"/>
  <c r="K30" i="126"/>
  <c r="AF29" i="126"/>
  <c r="AE29" i="126"/>
  <c r="V29" i="126"/>
  <c r="U29" i="126"/>
  <c r="Q29" i="126"/>
  <c r="P29" i="126"/>
  <c r="O29" i="126"/>
  <c r="N29" i="126"/>
  <c r="M29" i="126"/>
  <c r="K29" i="126"/>
  <c r="G29" i="126"/>
  <c r="AF28" i="126"/>
  <c r="AE28" i="126"/>
  <c r="V28" i="126"/>
  <c r="U28" i="126"/>
  <c r="Q28" i="126"/>
  <c r="P28" i="126"/>
  <c r="O28" i="126"/>
  <c r="N28" i="126"/>
  <c r="M28" i="126"/>
  <c r="K28" i="126"/>
  <c r="G28" i="126"/>
  <c r="AF27" i="126"/>
  <c r="AE27" i="126"/>
  <c r="V27" i="126"/>
  <c r="U27" i="126"/>
  <c r="Q27" i="126"/>
  <c r="P27" i="126"/>
  <c r="O27" i="126"/>
  <c r="N27" i="126"/>
  <c r="M27" i="126"/>
  <c r="K27" i="126"/>
  <c r="G27" i="126"/>
  <c r="AF26" i="126"/>
  <c r="AE26" i="126"/>
  <c r="V26" i="126"/>
  <c r="U26" i="126"/>
  <c r="Q26" i="126"/>
  <c r="P26" i="126"/>
  <c r="O26" i="126"/>
  <c r="N26" i="126"/>
  <c r="M26" i="126"/>
  <c r="K26" i="126"/>
  <c r="G26" i="126"/>
  <c r="AF25" i="126"/>
  <c r="AE25" i="126"/>
  <c r="V25" i="126"/>
  <c r="U25" i="126"/>
  <c r="O25" i="126"/>
  <c r="N25" i="126"/>
  <c r="Q25" i="126" s="1"/>
  <c r="M25" i="126"/>
  <c r="K25" i="126"/>
  <c r="G25" i="126"/>
  <c r="AF24" i="126"/>
  <c r="AE24" i="126"/>
  <c r="V24" i="126"/>
  <c r="U24" i="126"/>
  <c r="Q24" i="126"/>
  <c r="P24" i="126"/>
  <c r="O24" i="126"/>
  <c r="N24" i="126"/>
  <c r="M24" i="126"/>
  <c r="K24" i="126"/>
  <c r="G24" i="126"/>
  <c r="AG23" i="126"/>
  <c r="AF23" i="126"/>
  <c r="AE23" i="126"/>
  <c r="V23" i="126"/>
  <c r="O23" i="126"/>
  <c r="N23" i="126"/>
  <c r="Q23" i="126" s="1"/>
  <c r="M23" i="126"/>
  <c r="K23" i="126"/>
  <c r="G23" i="126"/>
  <c r="AF22" i="126"/>
  <c r="AG15" i="126" s="1"/>
  <c r="AE22" i="126"/>
  <c r="AD22" i="126"/>
  <c r="Z22" i="126"/>
  <c r="Y22" i="126"/>
  <c r="O22" i="126"/>
  <c r="M22" i="126"/>
  <c r="N22" i="126" s="1"/>
  <c r="K22" i="126"/>
  <c r="AF21" i="126"/>
  <c r="AE21" i="126"/>
  <c r="V21" i="126"/>
  <c r="U21" i="126"/>
  <c r="Q21" i="126"/>
  <c r="P21" i="126"/>
  <c r="O21" i="126"/>
  <c r="N21" i="126"/>
  <c r="M21" i="126"/>
  <c r="K21" i="126"/>
  <c r="G21" i="126"/>
  <c r="AF20" i="126"/>
  <c r="AE20" i="126"/>
  <c r="V20" i="126"/>
  <c r="U20" i="126"/>
  <c r="Q20" i="126"/>
  <c r="P20" i="126"/>
  <c r="O20" i="126"/>
  <c r="N20" i="126"/>
  <c r="M20" i="126"/>
  <c r="K20" i="126"/>
  <c r="G20" i="126"/>
  <c r="AF19" i="126"/>
  <c r="AE19" i="126"/>
  <c r="V19" i="126"/>
  <c r="U19" i="126"/>
  <c r="Q19" i="126"/>
  <c r="P19" i="126"/>
  <c r="O19" i="126"/>
  <c r="N19" i="126"/>
  <c r="M19" i="126"/>
  <c r="K19" i="126"/>
  <c r="G19" i="126"/>
  <c r="AF18" i="126"/>
  <c r="AE18" i="126"/>
  <c r="V18" i="126"/>
  <c r="U18" i="126"/>
  <c r="Q18" i="126"/>
  <c r="P18" i="126"/>
  <c r="O18" i="126"/>
  <c r="N18" i="126"/>
  <c r="M18" i="126"/>
  <c r="K18" i="126"/>
  <c r="G18" i="126"/>
  <c r="AF17" i="126"/>
  <c r="AE17" i="126"/>
  <c r="V17" i="126"/>
  <c r="U17" i="126"/>
  <c r="Q17" i="126"/>
  <c r="P17" i="126"/>
  <c r="O17" i="126"/>
  <c r="N17" i="126"/>
  <c r="M17" i="126"/>
  <c r="K17" i="126"/>
  <c r="G17" i="126"/>
  <c r="AF16" i="126"/>
  <c r="AE16" i="126"/>
  <c r="V16" i="126"/>
  <c r="U16" i="126"/>
  <c r="Q16" i="126"/>
  <c r="P16" i="126"/>
  <c r="O16" i="126"/>
  <c r="N16" i="126"/>
  <c r="M16" i="126"/>
  <c r="K16" i="126"/>
  <c r="G16" i="126"/>
  <c r="AF15" i="126"/>
  <c r="AE15" i="126"/>
  <c r="X15" i="126"/>
  <c r="W15" i="126"/>
  <c r="V15" i="126"/>
  <c r="Q15" i="126"/>
  <c r="P15" i="126"/>
  <c r="O15" i="126"/>
  <c r="N15" i="126"/>
  <c r="M15" i="126"/>
  <c r="K15" i="126"/>
  <c r="G15" i="126"/>
  <c r="AF14" i="126"/>
  <c r="AG9" i="126" s="1"/>
  <c r="AE14" i="126"/>
  <c r="AD14" i="126"/>
  <c r="Z14" i="126"/>
  <c r="Y14" i="126"/>
  <c r="Q14" i="126"/>
  <c r="P14" i="126"/>
  <c r="O14" i="126"/>
  <c r="N14" i="126"/>
  <c r="M14" i="126"/>
  <c r="K14" i="126"/>
  <c r="AF13" i="126"/>
  <c r="AE13" i="126"/>
  <c r="V13" i="126"/>
  <c r="U13" i="126"/>
  <c r="Q13" i="126"/>
  <c r="P13" i="126"/>
  <c r="O13" i="126"/>
  <c r="N13" i="126"/>
  <c r="M13" i="126"/>
  <c r="K13" i="126"/>
  <c r="G13" i="126"/>
  <c r="AF12" i="126"/>
  <c r="AE12" i="126"/>
  <c r="V12" i="126"/>
  <c r="U12" i="126"/>
  <c r="Q12" i="126"/>
  <c r="P12" i="126"/>
  <c r="O12" i="126"/>
  <c r="N12" i="126"/>
  <c r="M12" i="126"/>
  <c r="K12" i="126"/>
  <c r="G12" i="126"/>
  <c r="AF11" i="126"/>
  <c r="AE11" i="126"/>
  <c r="X11" i="126"/>
  <c r="W11" i="126"/>
  <c r="V11" i="126"/>
  <c r="U11" i="126"/>
  <c r="Q11" i="126"/>
  <c r="P11" i="126"/>
  <c r="O11" i="126"/>
  <c r="N11" i="126"/>
  <c r="M11" i="126"/>
  <c r="K11" i="126"/>
  <c r="G11" i="126"/>
  <c r="AF10" i="126"/>
  <c r="AE10" i="126"/>
  <c r="V10" i="126"/>
  <c r="U10" i="126"/>
  <c r="Q10" i="126"/>
  <c r="P10" i="126"/>
  <c r="O10" i="126"/>
  <c r="N10" i="126"/>
  <c r="M10" i="126"/>
  <c r="K10" i="126"/>
  <c r="G10" i="126"/>
  <c r="AF9" i="126"/>
  <c r="AE9" i="126"/>
  <c r="X9" i="126"/>
  <c r="W9" i="126"/>
  <c r="V9" i="126"/>
  <c r="R9" i="126"/>
  <c r="Q9" i="126"/>
  <c r="P9" i="126"/>
  <c r="O9" i="126"/>
  <c r="N9" i="126"/>
  <c r="M9" i="126"/>
  <c r="K9" i="126"/>
  <c r="G9" i="126"/>
  <c r="AF8" i="126"/>
  <c r="AE8" i="126"/>
  <c r="AD8" i="126"/>
  <c r="Z8" i="126"/>
  <c r="Y8" i="126"/>
  <c r="Q8" i="126"/>
  <c r="R5" i="126" s="1"/>
  <c r="P8" i="126"/>
  <c r="O8" i="126"/>
  <c r="N8" i="126"/>
  <c r="M8" i="126"/>
  <c r="K8" i="126"/>
  <c r="AF7" i="126"/>
  <c r="AE7" i="126"/>
  <c r="V7" i="126"/>
  <c r="U7" i="126"/>
  <c r="Q7" i="126"/>
  <c r="P7" i="126"/>
  <c r="O7" i="126"/>
  <c r="N7" i="126"/>
  <c r="M7" i="126"/>
  <c r="K7" i="126"/>
  <c r="G7" i="126"/>
  <c r="AF6" i="126"/>
  <c r="AE6" i="126"/>
  <c r="V6" i="126"/>
  <c r="U6" i="126"/>
  <c r="Q6" i="126"/>
  <c r="P6" i="126"/>
  <c r="O6" i="126"/>
  <c r="N6" i="126"/>
  <c r="M6" i="126"/>
  <c r="K6" i="126"/>
  <c r="G6" i="126"/>
  <c r="AG5" i="126"/>
  <c r="AF5" i="126"/>
  <c r="AE5" i="126"/>
  <c r="V5" i="126"/>
  <c r="Q5" i="126"/>
  <c r="P5" i="126"/>
  <c r="O5" i="126"/>
  <c r="N5" i="126"/>
  <c r="M5" i="126"/>
  <c r="K5" i="126"/>
  <c r="G5" i="126"/>
  <c r="AD2" i="126"/>
  <c r="Z2" i="126"/>
  <c r="Y2" i="126"/>
  <c r="H2" i="126"/>
  <c r="F2" i="126"/>
  <c r="H1" i="126"/>
  <c r="F1" i="126"/>
  <c r="D1" i="126"/>
  <c r="M22" i="125"/>
  <c r="L22" i="125"/>
  <c r="K22" i="125"/>
  <c r="J22" i="125"/>
  <c r="I22" i="125"/>
  <c r="H22" i="125"/>
  <c r="G22" i="125"/>
  <c r="F22" i="125"/>
  <c r="E22" i="125"/>
  <c r="D22" i="125"/>
  <c r="M21" i="125"/>
  <c r="L21" i="125"/>
  <c r="K21" i="125"/>
  <c r="J21" i="125"/>
  <c r="I21" i="125"/>
  <c r="H21" i="125"/>
  <c r="G21" i="125"/>
  <c r="F21" i="125"/>
  <c r="E21" i="125"/>
  <c r="D21" i="125"/>
  <c r="M20" i="125"/>
  <c r="L20" i="125"/>
  <c r="K20" i="125"/>
  <c r="J20" i="125"/>
  <c r="I20" i="125"/>
  <c r="H20" i="125"/>
  <c r="G20" i="125"/>
  <c r="F20" i="125"/>
  <c r="E20" i="125"/>
  <c r="D20" i="125"/>
  <c r="M19" i="125"/>
  <c r="L19" i="125"/>
  <c r="K19" i="125"/>
  <c r="J19" i="125"/>
  <c r="I19" i="125"/>
  <c r="H19" i="125"/>
  <c r="G19" i="125"/>
  <c r="F19" i="125"/>
  <c r="E19" i="125"/>
  <c r="D19" i="125"/>
  <c r="M18" i="125"/>
  <c r="L18" i="125"/>
  <c r="K18" i="125"/>
  <c r="J18" i="125"/>
  <c r="I18" i="125"/>
  <c r="H18" i="125"/>
  <c r="G18" i="125"/>
  <c r="F18" i="125"/>
  <c r="E18" i="125"/>
  <c r="D18" i="125"/>
  <c r="M17" i="125"/>
  <c r="L17" i="125"/>
  <c r="K17" i="125"/>
  <c r="J17" i="125"/>
  <c r="I17" i="125"/>
  <c r="H17" i="125"/>
  <c r="G17" i="125"/>
  <c r="F17" i="125"/>
  <c r="E17" i="125"/>
  <c r="D17" i="125"/>
  <c r="M16" i="125"/>
  <c r="L16" i="125"/>
  <c r="K16" i="125"/>
  <c r="J16" i="125"/>
  <c r="I16" i="125"/>
  <c r="H16" i="125"/>
  <c r="G16" i="125"/>
  <c r="F16" i="125"/>
  <c r="E16" i="125"/>
  <c r="D16" i="125"/>
  <c r="E15" i="125"/>
  <c r="M14" i="125"/>
  <c r="M15" i="125" s="1"/>
  <c r="L14" i="125"/>
  <c r="L15" i="125" s="1"/>
  <c r="J14" i="125"/>
  <c r="J15" i="125" s="1"/>
  <c r="H14" i="125"/>
  <c r="H15" i="125" s="1"/>
  <c r="G14" i="125"/>
  <c r="G15" i="125" s="1"/>
  <c r="E14" i="125"/>
  <c r="D14" i="125"/>
  <c r="M13" i="125"/>
  <c r="L13" i="125"/>
  <c r="K13" i="125"/>
  <c r="J13" i="125"/>
  <c r="I13" i="125"/>
  <c r="H13" i="125"/>
  <c r="G13" i="125"/>
  <c r="F13" i="125"/>
  <c r="E13" i="125"/>
  <c r="D13" i="125"/>
  <c r="N6" i="125"/>
  <c r="M6" i="125"/>
  <c r="L6" i="125"/>
  <c r="K6" i="125"/>
  <c r="I6" i="125"/>
  <c r="G6" i="125"/>
  <c r="F6" i="125"/>
  <c r="E6" i="125"/>
  <c r="I3" i="125"/>
  <c r="F3" i="125"/>
  <c r="C3" i="125"/>
  <c r="F8" i="133" l="1"/>
  <c r="E8" i="133"/>
  <c r="G8" i="133"/>
  <c r="K15" i="131"/>
  <c r="I8" i="131" s="1"/>
  <c r="I7" i="131"/>
  <c r="D15" i="131"/>
  <c r="G7" i="131"/>
  <c r="F7" i="131"/>
  <c r="E7" i="131"/>
  <c r="P70" i="130"/>
  <c r="Q70" i="130"/>
  <c r="R64" i="130" s="1"/>
  <c r="M14" i="129"/>
  <c r="M15" i="129" s="1"/>
  <c r="Q45" i="130"/>
  <c r="R38" i="130" s="1"/>
  <c r="P45" i="130"/>
  <c r="L14" i="129"/>
  <c r="L15" i="129" s="1"/>
  <c r="D14" i="129"/>
  <c r="D2" i="130"/>
  <c r="Q8" i="130"/>
  <c r="R5" i="130" s="1"/>
  <c r="P8" i="130"/>
  <c r="Q37" i="130"/>
  <c r="R29" i="130" s="1"/>
  <c r="P37" i="130"/>
  <c r="K14" i="129"/>
  <c r="E14" i="129"/>
  <c r="E15" i="129" s="1"/>
  <c r="Q13" i="130"/>
  <c r="R9" i="130" s="1"/>
  <c r="P13" i="130"/>
  <c r="Q63" i="130"/>
  <c r="R59" i="130" s="1"/>
  <c r="P63" i="130"/>
  <c r="J14" i="129"/>
  <c r="J15" i="129" s="1"/>
  <c r="P58" i="130"/>
  <c r="Q58" i="130"/>
  <c r="R51" i="130" s="1"/>
  <c r="I14" i="129"/>
  <c r="I15" i="129" s="1"/>
  <c r="G14" i="129"/>
  <c r="G15" i="129" s="1"/>
  <c r="P28" i="130"/>
  <c r="Q28" i="130"/>
  <c r="R22" i="130" s="1"/>
  <c r="F14" i="129"/>
  <c r="F15" i="129" s="1"/>
  <c r="Q21" i="130"/>
  <c r="R14" i="130" s="1"/>
  <c r="P21" i="130"/>
  <c r="Q39" i="126"/>
  <c r="R31" i="126" s="1"/>
  <c r="P39" i="126"/>
  <c r="K14" i="125"/>
  <c r="D2" i="126"/>
  <c r="Q22" i="126"/>
  <c r="R15" i="126" s="1"/>
  <c r="P22" i="126"/>
  <c r="F14" i="125"/>
  <c r="F15" i="125" s="1"/>
  <c r="P61" i="126"/>
  <c r="Q61" i="126"/>
  <c r="R54" i="126" s="1"/>
  <c r="I14" i="125"/>
  <c r="I15" i="125" s="1"/>
  <c r="Q53" i="126"/>
  <c r="R49" i="126" s="1"/>
  <c r="P73" i="126"/>
  <c r="P30" i="126"/>
  <c r="Q48" i="126"/>
  <c r="R40" i="126" s="1"/>
  <c r="P66" i="126"/>
  <c r="D15" i="125"/>
  <c r="P47" i="126"/>
  <c r="P50" i="126"/>
  <c r="P53" i="126"/>
  <c r="P25" i="126"/>
  <c r="P23" i="126"/>
  <c r="P40" i="126"/>
  <c r="P43" i="126"/>
  <c r="P45" i="126"/>
  <c r="P64" i="126"/>
  <c r="AD73" i="124"/>
  <c r="Z73" i="124"/>
  <c r="Y73" i="124"/>
  <c r="O73" i="124"/>
  <c r="M73" i="124"/>
  <c r="AF73" i="124" s="1"/>
  <c r="AG67" i="124" s="1"/>
  <c r="K73" i="124"/>
  <c r="AF72" i="124"/>
  <c r="AE72" i="124"/>
  <c r="V72" i="124"/>
  <c r="U72" i="124"/>
  <c r="O72" i="124"/>
  <c r="N72" i="124"/>
  <c r="Q72" i="124" s="1"/>
  <c r="M72" i="124"/>
  <c r="K72" i="124"/>
  <c r="G72" i="124"/>
  <c r="AF71" i="124"/>
  <c r="AE71" i="124"/>
  <c r="X71" i="124"/>
  <c r="W71" i="124"/>
  <c r="V71" i="124"/>
  <c r="U71" i="124"/>
  <c r="O71" i="124"/>
  <c r="N71" i="124"/>
  <c r="P71" i="124" s="1"/>
  <c r="M71" i="124"/>
  <c r="K71" i="124"/>
  <c r="G71" i="124"/>
  <c r="AF70" i="124"/>
  <c r="AE70" i="124"/>
  <c r="V70" i="124"/>
  <c r="U70" i="124"/>
  <c r="O70" i="124"/>
  <c r="N70" i="124"/>
  <c r="Q70" i="124" s="1"/>
  <c r="M70" i="124"/>
  <c r="K70" i="124"/>
  <c r="G70" i="124"/>
  <c r="AF69" i="124"/>
  <c r="AE69" i="124"/>
  <c r="V69" i="124"/>
  <c r="U69" i="124"/>
  <c r="O69" i="124"/>
  <c r="N69" i="124"/>
  <c r="Q69" i="124" s="1"/>
  <c r="M69" i="124"/>
  <c r="K69" i="124"/>
  <c r="G69" i="124"/>
  <c r="AF68" i="124"/>
  <c r="AE68" i="124"/>
  <c r="V68" i="124"/>
  <c r="U68" i="124"/>
  <c r="O68" i="124"/>
  <c r="M68" i="124"/>
  <c r="N68" i="124" s="1"/>
  <c r="K68" i="124"/>
  <c r="G68" i="124"/>
  <c r="AF67" i="124"/>
  <c r="AE67" i="124"/>
  <c r="X67" i="124"/>
  <c r="W67" i="124"/>
  <c r="V67" i="124"/>
  <c r="O67" i="124"/>
  <c r="N67" i="124"/>
  <c r="Q67" i="124" s="1"/>
  <c r="M67" i="124"/>
  <c r="K67" i="124"/>
  <c r="G67" i="124"/>
  <c r="AF66" i="124"/>
  <c r="AG62" i="124" s="1"/>
  <c r="AD66" i="124"/>
  <c r="Z66" i="124"/>
  <c r="Y66" i="124"/>
  <c r="O66" i="124"/>
  <c r="M66" i="124"/>
  <c r="N66" i="124" s="1"/>
  <c r="K66" i="124"/>
  <c r="AF65" i="124"/>
  <c r="AE65" i="124"/>
  <c r="V65" i="124"/>
  <c r="U65" i="124"/>
  <c r="O65" i="124"/>
  <c r="M65" i="124"/>
  <c r="N65" i="124" s="1"/>
  <c r="K65" i="124"/>
  <c r="G65" i="124"/>
  <c r="AF64" i="124"/>
  <c r="AE64" i="124"/>
  <c r="V64" i="124"/>
  <c r="U64" i="124"/>
  <c r="O64" i="124"/>
  <c r="M64" i="124"/>
  <c r="N64" i="124" s="1"/>
  <c r="K64" i="124"/>
  <c r="G64" i="124"/>
  <c r="AF63" i="124"/>
  <c r="AE63" i="124"/>
  <c r="V63" i="124"/>
  <c r="U63" i="124"/>
  <c r="Q63" i="124"/>
  <c r="O63" i="124"/>
  <c r="N63" i="124"/>
  <c r="P63" i="124" s="1"/>
  <c r="M63" i="124"/>
  <c r="K63" i="124"/>
  <c r="G63" i="124"/>
  <c r="AF62" i="124"/>
  <c r="AE62" i="124"/>
  <c r="V62" i="124"/>
  <c r="Q62" i="124"/>
  <c r="O62" i="124"/>
  <c r="N62" i="124"/>
  <c r="P62" i="124" s="1"/>
  <c r="M62" i="124"/>
  <c r="K62" i="124"/>
  <c r="G62" i="124"/>
  <c r="AF61" i="124"/>
  <c r="AG54" i="124" s="1"/>
  <c r="AE61" i="124"/>
  <c r="AD61" i="124"/>
  <c r="Z61" i="124"/>
  <c r="Y61" i="124"/>
  <c r="Q61" i="124"/>
  <c r="O61" i="124"/>
  <c r="N61" i="124"/>
  <c r="P61" i="124" s="1"/>
  <c r="M61" i="124"/>
  <c r="K61" i="124"/>
  <c r="AF60" i="124"/>
  <c r="AE60" i="124"/>
  <c r="V60" i="124"/>
  <c r="U60" i="124"/>
  <c r="O60" i="124"/>
  <c r="M60" i="124"/>
  <c r="N60" i="124" s="1"/>
  <c r="K60" i="124"/>
  <c r="G60" i="124"/>
  <c r="AF59" i="124"/>
  <c r="AE59" i="124"/>
  <c r="V59" i="124"/>
  <c r="U59" i="124"/>
  <c r="Q59" i="124"/>
  <c r="P59" i="124"/>
  <c r="O59" i="124"/>
  <c r="N59" i="124"/>
  <c r="M59" i="124"/>
  <c r="K59" i="124"/>
  <c r="G59" i="124"/>
  <c r="AF58" i="124"/>
  <c r="AE58" i="124"/>
  <c r="V58" i="124"/>
  <c r="U58" i="124"/>
  <c r="Q58" i="124"/>
  <c r="P58" i="124"/>
  <c r="O58" i="124"/>
  <c r="N58" i="124"/>
  <c r="M58" i="124"/>
  <c r="K58" i="124"/>
  <c r="G58" i="124"/>
  <c r="AF57" i="124"/>
  <c r="AE57" i="124"/>
  <c r="V57" i="124"/>
  <c r="U57" i="124"/>
  <c r="O57" i="124"/>
  <c r="N57" i="124"/>
  <c r="P57" i="124" s="1"/>
  <c r="M57" i="124"/>
  <c r="K57" i="124"/>
  <c r="G57" i="124"/>
  <c r="AF56" i="124"/>
  <c r="AE56" i="124"/>
  <c r="V56" i="124"/>
  <c r="U56" i="124"/>
  <c r="O56" i="124"/>
  <c r="N56" i="124"/>
  <c r="P56" i="124" s="1"/>
  <c r="M56" i="124"/>
  <c r="K56" i="124"/>
  <c r="G56" i="124"/>
  <c r="AF55" i="124"/>
  <c r="AE55" i="124"/>
  <c r="V55" i="124"/>
  <c r="U55" i="124"/>
  <c r="O55" i="124"/>
  <c r="N55" i="124"/>
  <c r="P55" i="124" s="1"/>
  <c r="M55" i="124"/>
  <c r="K55" i="124"/>
  <c r="G55" i="124"/>
  <c r="AF54" i="124"/>
  <c r="AE54" i="124"/>
  <c r="X54" i="124"/>
  <c r="W54" i="124"/>
  <c r="V54" i="124"/>
  <c r="R54" i="124"/>
  <c r="O54" i="124"/>
  <c r="N54" i="124"/>
  <c r="P54" i="124" s="1"/>
  <c r="M54" i="124"/>
  <c r="K54" i="124"/>
  <c r="G54" i="124"/>
  <c r="AF53" i="124"/>
  <c r="AE53" i="124"/>
  <c r="AD53" i="124"/>
  <c r="Z53" i="124"/>
  <c r="Y53" i="124"/>
  <c r="O53" i="124"/>
  <c r="N53" i="124"/>
  <c r="P53" i="124" s="1"/>
  <c r="M53" i="124"/>
  <c r="K53" i="124"/>
  <c r="AF52" i="124"/>
  <c r="AE52" i="124"/>
  <c r="V52" i="124"/>
  <c r="U52" i="124"/>
  <c r="O52" i="124"/>
  <c r="N52" i="124"/>
  <c r="P52" i="124" s="1"/>
  <c r="M52" i="124"/>
  <c r="K52" i="124"/>
  <c r="G52" i="124"/>
  <c r="AF51" i="124"/>
  <c r="AE51" i="124"/>
  <c r="V51" i="124"/>
  <c r="U51" i="124"/>
  <c r="O51" i="124"/>
  <c r="N51" i="124"/>
  <c r="Q51" i="124" s="1"/>
  <c r="M51" i="124"/>
  <c r="K51" i="124"/>
  <c r="G51" i="124"/>
  <c r="AF50" i="124"/>
  <c r="AE50" i="124"/>
  <c r="V50" i="124"/>
  <c r="U50" i="124"/>
  <c r="O50" i="124"/>
  <c r="N50" i="124"/>
  <c r="Q50" i="124" s="1"/>
  <c r="M50" i="124"/>
  <c r="K50" i="124"/>
  <c r="G50" i="124"/>
  <c r="AG49" i="124"/>
  <c r="AF49" i="124"/>
  <c r="AE49" i="124"/>
  <c r="X49" i="124"/>
  <c r="W49" i="124"/>
  <c r="V49" i="124"/>
  <c r="O49" i="124"/>
  <c r="N49" i="124"/>
  <c r="P49" i="124" s="1"/>
  <c r="M49" i="124"/>
  <c r="K49" i="124"/>
  <c r="G49" i="124"/>
  <c r="AD48" i="124"/>
  <c r="Z48" i="124"/>
  <c r="Y48" i="124"/>
  <c r="O48" i="124"/>
  <c r="M48" i="124"/>
  <c r="AE48" i="124" s="1"/>
  <c r="K48" i="124"/>
  <c r="AF47" i="124"/>
  <c r="AE47" i="124"/>
  <c r="V47" i="124"/>
  <c r="U47" i="124"/>
  <c r="O47" i="124"/>
  <c r="N47" i="124"/>
  <c r="Q47" i="124" s="1"/>
  <c r="M47" i="124"/>
  <c r="K47" i="124"/>
  <c r="G47" i="124"/>
  <c r="AF46" i="124"/>
  <c r="AE46" i="124"/>
  <c r="V46" i="124"/>
  <c r="U46" i="124"/>
  <c r="O46" i="124"/>
  <c r="M46" i="124"/>
  <c r="N46" i="124" s="1"/>
  <c r="K46" i="124"/>
  <c r="G46" i="124"/>
  <c r="AF45" i="124"/>
  <c r="AE45" i="124"/>
  <c r="V45" i="124"/>
  <c r="U45" i="124"/>
  <c r="O45" i="124"/>
  <c r="M45" i="124"/>
  <c r="N45" i="124" s="1"/>
  <c r="K45" i="124"/>
  <c r="G45" i="124"/>
  <c r="AF44" i="124"/>
  <c r="AE44" i="124"/>
  <c r="X44" i="124"/>
  <c r="W44" i="124"/>
  <c r="V44" i="124"/>
  <c r="U44" i="124"/>
  <c r="O44" i="124"/>
  <c r="M44" i="124"/>
  <c r="N44" i="124" s="1"/>
  <c r="K44" i="124"/>
  <c r="G44" i="124"/>
  <c r="AF43" i="124"/>
  <c r="AE43" i="124"/>
  <c r="V43" i="124"/>
  <c r="U43" i="124"/>
  <c r="O43" i="124"/>
  <c r="M43" i="124"/>
  <c r="N43" i="124" s="1"/>
  <c r="K43" i="124"/>
  <c r="G43" i="124"/>
  <c r="AF42" i="124"/>
  <c r="AE42" i="124"/>
  <c r="V42" i="124"/>
  <c r="U42" i="124"/>
  <c r="Q42" i="124"/>
  <c r="O42" i="124"/>
  <c r="N42" i="124"/>
  <c r="P42" i="124" s="1"/>
  <c r="M42" i="124"/>
  <c r="K42" i="124"/>
  <c r="G42" i="124"/>
  <c r="AF41" i="124"/>
  <c r="AE41" i="124"/>
  <c r="V41" i="124"/>
  <c r="U41" i="124"/>
  <c r="O41" i="124"/>
  <c r="M41" i="124"/>
  <c r="N41" i="124" s="1"/>
  <c r="K41" i="124"/>
  <c r="G41" i="124"/>
  <c r="AF40" i="124"/>
  <c r="AE40" i="124"/>
  <c r="X40" i="124"/>
  <c r="W40" i="124"/>
  <c r="V40" i="124"/>
  <c r="O40" i="124"/>
  <c r="M40" i="124"/>
  <c r="N40" i="124" s="1"/>
  <c r="K40" i="124"/>
  <c r="G40" i="124"/>
  <c r="AD39" i="124"/>
  <c r="Z39" i="124"/>
  <c r="Y39" i="124"/>
  <c r="O39" i="124"/>
  <c r="K39" i="124"/>
  <c r="AF38" i="124"/>
  <c r="AE38" i="124"/>
  <c r="V38" i="124"/>
  <c r="U38" i="124"/>
  <c r="O38" i="124"/>
  <c r="M38" i="124"/>
  <c r="N38" i="124" s="1"/>
  <c r="K38" i="124"/>
  <c r="G38" i="124"/>
  <c r="AF37" i="124"/>
  <c r="AE37" i="124"/>
  <c r="V37" i="124"/>
  <c r="U37" i="124"/>
  <c r="O37" i="124"/>
  <c r="M37" i="124"/>
  <c r="N37" i="124" s="1"/>
  <c r="K37" i="124"/>
  <c r="G37" i="124"/>
  <c r="AF36" i="124"/>
  <c r="AE36" i="124"/>
  <c r="V36" i="124"/>
  <c r="U36" i="124"/>
  <c r="Q36" i="124"/>
  <c r="P36" i="124"/>
  <c r="O36" i="124"/>
  <c r="N36" i="124"/>
  <c r="M36" i="124"/>
  <c r="K36" i="124"/>
  <c r="G36" i="124"/>
  <c r="AF35" i="124"/>
  <c r="AE35" i="124"/>
  <c r="X35" i="124"/>
  <c r="W35" i="124"/>
  <c r="V35" i="124"/>
  <c r="U35" i="124"/>
  <c r="O35" i="124"/>
  <c r="M35" i="124"/>
  <c r="N35" i="124" s="1"/>
  <c r="K35" i="124"/>
  <c r="G35" i="124"/>
  <c r="AF34" i="124"/>
  <c r="AE34" i="124"/>
  <c r="V34" i="124"/>
  <c r="U34" i="124"/>
  <c r="Q34" i="124"/>
  <c r="P34" i="124"/>
  <c r="O34" i="124"/>
  <c r="N34" i="124"/>
  <c r="M34" i="124"/>
  <c r="K34" i="124"/>
  <c r="G34" i="124"/>
  <c r="AF33" i="124"/>
  <c r="AE33" i="124"/>
  <c r="V33" i="124"/>
  <c r="U33" i="124"/>
  <c r="Q33" i="124"/>
  <c r="P33" i="124"/>
  <c r="O33" i="124"/>
  <c r="N33" i="124"/>
  <c r="M33" i="124"/>
  <c r="K33" i="124"/>
  <c r="G33" i="124"/>
  <c r="AF32" i="124"/>
  <c r="AE32" i="124"/>
  <c r="V32" i="124"/>
  <c r="U32" i="124"/>
  <c r="O32" i="124"/>
  <c r="N32" i="124"/>
  <c r="P32" i="124" s="1"/>
  <c r="M32" i="124"/>
  <c r="K32" i="124"/>
  <c r="G32" i="124"/>
  <c r="AF31" i="124"/>
  <c r="AE31" i="124"/>
  <c r="X31" i="124"/>
  <c r="W31" i="124"/>
  <c r="V31" i="124"/>
  <c r="Q31" i="124"/>
  <c r="P31" i="124"/>
  <c r="O31" i="124"/>
  <c r="N31" i="124"/>
  <c r="M31" i="124"/>
  <c r="K31" i="124"/>
  <c r="G31" i="124"/>
  <c r="AD30" i="124"/>
  <c r="Z30" i="124"/>
  <c r="Y30" i="124"/>
  <c r="O30" i="124"/>
  <c r="K30" i="124"/>
  <c r="AF29" i="124"/>
  <c r="AE29" i="124"/>
  <c r="V29" i="124"/>
  <c r="U29" i="124"/>
  <c r="O29" i="124"/>
  <c r="N29" i="124"/>
  <c r="P29" i="124" s="1"/>
  <c r="M29" i="124"/>
  <c r="K29" i="124"/>
  <c r="G29" i="124"/>
  <c r="AF28" i="124"/>
  <c r="AE28" i="124"/>
  <c r="V28" i="124"/>
  <c r="U28" i="124"/>
  <c r="O28" i="124"/>
  <c r="N28" i="124"/>
  <c r="Q28" i="124" s="1"/>
  <c r="M28" i="124"/>
  <c r="K28" i="124"/>
  <c r="G28" i="124"/>
  <c r="AF27" i="124"/>
  <c r="AE27" i="124"/>
  <c r="V27" i="124"/>
  <c r="U27" i="124"/>
  <c r="O27" i="124"/>
  <c r="N27" i="124"/>
  <c r="P27" i="124" s="1"/>
  <c r="M27" i="124"/>
  <c r="K27" i="124"/>
  <c r="G27" i="124"/>
  <c r="AF26" i="124"/>
  <c r="AE26" i="124"/>
  <c r="V26" i="124"/>
  <c r="U26" i="124"/>
  <c r="O26" i="124"/>
  <c r="N26" i="124"/>
  <c r="Q26" i="124" s="1"/>
  <c r="M26" i="124"/>
  <c r="K26" i="124"/>
  <c r="G26" i="124"/>
  <c r="AF25" i="124"/>
  <c r="AE25" i="124"/>
  <c r="V25" i="124"/>
  <c r="U25" i="124"/>
  <c r="O25" i="124"/>
  <c r="N25" i="124"/>
  <c r="Q25" i="124" s="1"/>
  <c r="M25" i="124"/>
  <c r="K25" i="124"/>
  <c r="G25" i="124"/>
  <c r="AF24" i="124"/>
  <c r="AE24" i="124"/>
  <c r="V24" i="124"/>
  <c r="U24" i="124"/>
  <c r="O24" i="124"/>
  <c r="M24" i="124"/>
  <c r="N24" i="124" s="1"/>
  <c r="K24" i="124"/>
  <c r="G24" i="124"/>
  <c r="AF23" i="124"/>
  <c r="AE23" i="124"/>
  <c r="V23" i="124"/>
  <c r="O23" i="124"/>
  <c r="M23" i="124"/>
  <c r="M30" i="124" s="1"/>
  <c r="K23" i="124"/>
  <c r="G23" i="124"/>
  <c r="AF22" i="124"/>
  <c r="AG15" i="124" s="1"/>
  <c r="AE22" i="124"/>
  <c r="AD22" i="124"/>
  <c r="Z22" i="124"/>
  <c r="Y22" i="124"/>
  <c r="O22" i="124"/>
  <c r="M22" i="124"/>
  <c r="N22" i="124" s="1"/>
  <c r="K22" i="124"/>
  <c r="AF21" i="124"/>
  <c r="AE21" i="124"/>
  <c r="V21" i="124"/>
  <c r="U21" i="124"/>
  <c r="Q21" i="124"/>
  <c r="O21" i="124"/>
  <c r="N21" i="124"/>
  <c r="P21" i="124" s="1"/>
  <c r="M21" i="124"/>
  <c r="K21" i="124"/>
  <c r="G21" i="124"/>
  <c r="AF20" i="124"/>
  <c r="AE20" i="124"/>
  <c r="V20" i="124"/>
  <c r="U20" i="124"/>
  <c r="O20" i="124"/>
  <c r="M20" i="124"/>
  <c r="N20" i="124" s="1"/>
  <c r="K20" i="124"/>
  <c r="G20" i="124"/>
  <c r="AF19" i="124"/>
  <c r="AE19" i="124"/>
  <c r="V19" i="124"/>
  <c r="U19" i="124"/>
  <c r="O19" i="124"/>
  <c r="M19" i="124"/>
  <c r="N19" i="124" s="1"/>
  <c r="K19" i="124"/>
  <c r="G19" i="124"/>
  <c r="AF18" i="124"/>
  <c r="AE18" i="124"/>
  <c r="V18" i="124"/>
  <c r="U18" i="124"/>
  <c r="Q18" i="124"/>
  <c r="P18" i="124"/>
  <c r="O18" i="124"/>
  <c r="N18" i="124"/>
  <c r="M18" i="124"/>
  <c r="K18" i="124"/>
  <c r="G18" i="124"/>
  <c r="AF17" i="124"/>
  <c r="AE17" i="124"/>
  <c r="V17" i="124"/>
  <c r="U17" i="124"/>
  <c r="Q17" i="124"/>
  <c r="P17" i="124"/>
  <c r="O17" i="124"/>
  <c r="N17" i="124"/>
  <c r="M17" i="124"/>
  <c r="K17" i="124"/>
  <c r="G17" i="124"/>
  <c r="AF16" i="124"/>
  <c r="AE16" i="124"/>
  <c r="V16" i="124"/>
  <c r="U16" i="124"/>
  <c r="O16" i="124"/>
  <c r="N16" i="124"/>
  <c r="P16" i="124" s="1"/>
  <c r="M16" i="124"/>
  <c r="K16" i="124"/>
  <c r="G16" i="124"/>
  <c r="AF15" i="124"/>
  <c r="AE15" i="124"/>
  <c r="X15" i="124"/>
  <c r="W15" i="124"/>
  <c r="V15" i="124"/>
  <c r="Q15" i="124"/>
  <c r="P15" i="124"/>
  <c r="O15" i="124"/>
  <c r="N15" i="124"/>
  <c r="M15" i="124"/>
  <c r="K15" i="124"/>
  <c r="G15" i="124"/>
  <c r="AE14" i="124"/>
  <c r="AD14" i="124"/>
  <c r="Z14" i="124"/>
  <c r="Y14" i="124"/>
  <c r="Q14" i="124"/>
  <c r="R9" i="124" s="1"/>
  <c r="P14" i="124"/>
  <c r="O14" i="124"/>
  <c r="N14" i="124"/>
  <c r="M14" i="124"/>
  <c r="AF14" i="124" s="1"/>
  <c r="AG9" i="124" s="1"/>
  <c r="K14" i="124"/>
  <c r="AF13" i="124"/>
  <c r="AE13" i="124"/>
  <c r="V13" i="124"/>
  <c r="U13" i="124"/>
  <c r="O13" i="124"/>
  <c r="N13" i="124"/>
  <c r="P13" i="124" s="1"/>
  <c r="M13" i="124"/>
  <c r="K13" i="124"/>
  <c r="G13" i="124"/>
  <c r="AF12" i="124"/>
  <c r="AE12" i="124"/>
  <c r="V12" i="124"/>
  <c r="U12" i="124"/>
  <c r="O12" i="124"/>
  <c r="N12" i="124"/>
  <c r="Q12" i="124" s="1"/>
  <c r="M12" i="124"/>
  <c r="K12" i="124"/>
  <c r="G12" i="124"/>
  <c r="AF11" i="124"/>
  <c r="AE11" i="124"/>
  <c r="X11" i="124"/>
  <c r="W11" i="124"/>
  <c r="V11" i="124"/>
  <c r="U11" i="124"/>
  <c r="O11" i="124"/>
  <c r="N11" i="124"/>
  <c r="P11" i="124" s="1"/>
  <c r="M11" i="124"/>
  <c r="K11" i="124"/>
  <c r="G11" i="124"/>
  <c r="AF10" i="124"/>
  <c r="AE10" i="124"/>
  <c r="V10" i="124"/>
  <c r="U10" i="124"/>
  <c r="O10" i="124"/>
  <c r="N10" i="124"/>
  <c r="Q10" i="124" s="1"/>
  <c r="M10" i="124"/>
  <c r="K10" i="124"/>
  <c r="G10" i="124"/>
  <c r="AF9" i="124"/>
  <c r="AE9" i="124"/>
  <c r="X9" i="124"/>
  <c r="W9" i="124"/>
  <c r="V9" i="124"/>
  <c r="Q9" i="124"/>
  <c r="P9" i="124"/>
  <c r="O9" i="124"/>
  <c r="N9" i="124"/>
  <c r="M9" i="124"/>
  <c r="K9" i="124"/>
  <c r="G9" i="124"/>
  <c r="AD8" i="124"/>
  <c r="Z8" i="124"/>
  <c r="Y8" i="124"/>
  <c r="O8" i="124"/>
  <c r="N8" i="124"/>
  <c r="Q8" i="124" s="1"/>
  <c r="R5" i="124" s="1"/>
  <c r="M8" i="124"/>
  <c r="AF8" i="124" s="1"/>
  <c r="AG5" i="124" s="1"/>
  <c r="K8" i="124"/>
  <c r="AF7" i="124"/>
  <c r="AE7" i="124"/>
  <c r="V7" i="124"/>
  <c r="U7" i="124"/>
  <c r="O7" i="124"/>
  <c r="N7" i="124"/>
  <c r="Q7" i="124" s="1"/>
  <c r="M7" i="124"/>
  <c r="K7" i="124"/>
  <c r="G7" i="124"/>
  <c r="AF6" i="124"/>
  <c r="AE6" i="124"/>
  <c r="V6" i="124"/>
  <c r="U6" i="124"/>
  <c r="O6" i="124"/>
  <c r="N6" i="124"/>
  <c r="P6" i="124" s="1"/>
  <c r="M6" i="124"/>
  <c r="K6" i="124"/>
  <c r="G6" i="124"/>
  <c r="AF5" i="124"/>
  <c r="AE5" i="124"/>
  <c r="V5" i="124"/>
  <c r="O5" i="124"/>
  <c r="N5" i="124"/>
  <c r="P5" i="124" s="1"/>
  <c r="M5" i="124"/>
  <c r="K5" i="124"/>
  <c r="G5" i="124"/>
  <c r="AD2" i="124"/>
  <c r="Z2" i="124"/>
  <c r="Y2" i="124"/>
  <c r="H2" i="124"/>
  <c r="H1" i="124"/>
  <c r="F1" i="124"/>
  <c r="I3" i="123" s="1"/>
  <c r="D1" i="124"/>
  <c r="M22" i="123"/>
  <c r="L22" i="123"/>
  <c r="K22" i="123"/>
  <c r="J22" i="123"/>
  <c r="I22" i="123"/>
  <c r="H22" i="123"/>
  <c r="G22" i="123"/>
  <c r="F22" i="123"/>
  <c r="E22" i="123"/>
  <c r="D22" i="123"/>
  <c r="M21" i="123"/>
  <c r="L21" i="123"/>
  <c r="K21" i="123"/>
  <c r="J21" i="123"/>
  <c r="I21" i="123"/>
  <c r="H21" i="123"/>
  <c r="G21" i="123"/>
  <c r="F21" i="123"/>
  <c r="E21" i="123"/>
  <c r="D21" i="123"/>
  <c r="M20" i="123"/>
  <c r="L20" i="123"/>
  <c r="K20" i="123"/>
  <c r="J20" i="123"/>
  <c r="I20" i="123"/>
  <c r="H20" i="123"/>
  <c r="G20" i="123"/>
  <c r="F20" i="123"/>
  <c r="E20" i="123"/>
  <c r="D20" i="123"/>
  <c r="M19" i="123"/>
  <c r="L19" i="123"/>
  <c r="K19" i="123"/>
  <c r="J19" i="123"/>
  <c r="I19" i="123"/>
  <c r="H19" i="123"/>
  <c r="G19" i="123"/>
  <c r="F19" i="123"/>
  <c r="E19" i="123"/>
  <c r="D19" i="123"/>
  <c r="M18" i="123"/>
  <c r="L18" i="123"/>
  <c r="K18" i="123"/>
  <c r="J18" i="123"/>
  <c r="I18" i="123"/>
  <c r="H18" i="123"/>
  <c r="G18" i="123"/>
  <c r="F18" i="123"/>
  <c r="E18" i="123"/>
  <c r="D18" i="123"/>
  <c r="M17" i="123"/>
  <c r="L17" i="123"/>
  <c r="K17" i="123"/>
  <c r="J17" i="123"/>
  <c r="I17" i="123"/>
  <c r="H17" i="123"/>
  <c r="G17" i="123"/>
  <c r="F17" i="123"/>
  <c r="E17" i="123"/>
  <c r="D17" i="123"/>
  <c r="M16" i="123"/>
  <c r="L16" i="123"/>
  <c r="K16" i="123"/>
  <c r="J16" i="123"/>
  <c r="I16" i="123"/>
  <c r="H16" i="123"/>
  <c r="G16" i="123"/>
  <c r="F16" i="123"/>
  <c r="E16" i="123"/>
  <c r="D16" i="123"/>
  <c r="E15" i="123"/>
  <c r="I14" i="123"/>
  <c r="I15" i="123" s="1"/>
  <c r="H14" i="123"/>
  <c r="H15" i="123" s="1"/>
  <c r="E14" i="123"/>
  <c r="M13" i="123"/>
  <c r="L13" i="123"/>
  <c r="K13" i="123"/>
  <c r="J13" i="123"/>
  <c r="I13" i="123"/>
  <c r="H13" i="123"/>
  <c r="G13" i="123"/>
  <c r="F13" i="123"/>
  <c r="E13" i="123"/>
  <c r="D13" i="123"/>
  <c r="N6" i="123"/>
  <c r="M6" i="123"/>
  <c r="L6" i="123"/>
  <c r="K6" i="123"/>
  <c r="I6" i="123"/>
  <c r="G6" i="123"/>
  <c r="F6" i="123"/>
  <c r="E6" i="123"/>
  <c r="F3" i="123"/>
  <c r="C3" i="123"/>
  <c r="F8" i="131" l="1"/>
  <c r="G8" i="131"/>
  <c r="E8" i="131"/>
  <c r="D15" i="129"/>
  <c r="F7" i="129"/>
  <c r="E7" i="129"/>
  <c r="G7" i="129"/>
  <c r="I7" i="129"/>
  <c r="K15" i="129"/>
  <c r="I8" i="129" s="1"/>
  <c r="G7" i="125"/>
  <c r="E7" i="125"/>
  <c r="G8" i="125"/>
  <c r="F8" i="125"/>
  <c r="I7" i="125"/>
  <c r="K15" i="125"/>
  <c r="I8" i="125" s="1"/>
  <c r="F7" i="125"/>
  <c r="P60" i="124"/>
  <c r="Q60" i="124"/>
  <c r="P35" i="124"/>
  <c r="Q35" i="124"/>
  <c r="Q22" i="124"/>
  <c r="R15" i="124" s="1"/>
  <c r="P22" i="124"/>
  <c r="F14" i="123"/>
  <c r="F15" i="123" s="1"/>
  <c r="Q45" i="124"/>
  <c r="P45" i="124"/>
  <c r="Q38" i="124"/>
  <c r="P38" i="124"/>
  <c r="Q44" i="124"/>
  <c r="P44" i="124"/>
  <c r="Q20" i="124"/>
  <c r="P20" i="124"/>
  <c r="Q46" i="124"/>
  <c r="P46" i="124"/>
  <c r="P19" i="124"/>
  <c r="Q19" i="124"/>
  <c r="Q40" i="124"/>
  <c r="P40" i="124"/>
  <c r="Q65" i="124"/>
  <c r="P65" i="124"/>
  <c r="Q24" i="124"/>
  <c r="P24" i="124"/>
  <c r="Q68" i="124"/>
  <c r="P68" i="124"/>
  <c r="P37" i="124"/>
  <c r="Q37" i="124"/>
  <c r="Q43" i="124"/>
  <c r="P43" i="124"/>
  <c r="Q64" i="124"/>
  <c r="P64" i="124"/>
  <c r="AF30" i="124"/>
  <c r="AG23" i="124" s="1"/>
  <c r="AE30" i="124"/>
  <c r="N30" i="124"/>
  <c r="Q66" i="124"/>
  <c r="R62" i="124" s="1"/>
  <c r="P66" i="124"/>
  <c r="J14" i="123"/>
  <c r="J15" i="123" s="1"/>
  <c r="Q41" i="124"/>
  <c r="P41" i="124"/>
  <c r="P7" i="124"/>
  <c r="P10" i="124"/>
  <c r="P12" i="124"/>
  <c r="Q16" i="124"/>
  <c r="P28" i="124"/>
  <c r="Q32" i="124"/>
  <c r="Q54" i="124"/>
  <c r="Q57" i="124"/>
  <c r="AF48" i="124"/>
  <c r="AG40" i="124" s="1"/>
  <c r="AE66" i="124"/>
  <c r="Q5" i="124"/>
  <c r="Q6" i="124"/>
  <c r="N23" i="124"/>
  <c r="P26" i="124"/>
  <c r="Q27" i="124"/>
  <c r="M39" i="124"/>
  <c r="Q49" i="124"/>
  <c r="P51" i="124"/>
  <c r="Q52" i="124"/>
  <c r="Q55" i="124"/>
  <c r="P67" i="124"/>
  <c r="P70" i="124"/>
  <c r="Q71" i="124"/>
  <c r="P72" i="124"/>
  <c r="F2" i="124"/>
  <c r="AE8" i="124"/>
  <c r="P25" i="124"/>
  <c r="P47" i="124"/>
  <c r="P50" i="124"/>
  <c r="P69" i="124"/>
  <c r="P8" i="124"/>
  <c r="Q56" i="124"/>
  <c r="Q11" i="124"/>
  <c r="Q13" i="124"/>
  <c r="Q29" i="124"/>
  <c r="Q53" i="124"/>
  <c r="R49" i="124" s="1"/>
  <c r="D14" i="123"/>
  <c r="AE73" i="124"/>
  <c r="N73" i="124"/>
  <c r="N48" i="124"/>
  <c r="AD74" i="122"/>
  <c r="Z74" i="122"/>
  <c r="M19" i="121" s="1"/>
  <c r="Y74" i="122"/>
  <c r="O74" i="122"/>
  <c r="K74" i="122"/>
  <c r="V73" i="122"/>
  <c r="M73" i="122" s="1"/>
  <c r="U73" i="122"/>
  <c r="O73" i="122"/>
  <c r="K73" i="122"/>
  <c r="G73" i="122"/>
  <c r="AE72" i="122"/>
  <c r="V72" i="122"/>
  <c r="U72" i="122"/>
  <c r="O72" i="122"/>
  <c r="N72" i="122"/>
  <c r="P72" i="122" s="1"/>
  <c r="M72" i="122"/>
  <c r="AF72" i="122" s="1"/>
  <c r="K72" i="122"/>
  <c r="G72" i="122"/>
  <c r="X71" i="122"/>
  <c r="W71" i="122"/>
  <c r="V71" i="122"/>
  <c r="M71" i="122" s="1"/>
  <c r="N71" i="122" s="1"/>
  <c r="U71" i="122"/>
  <c r="O71" i="122"/>
  <c r="K71" i="122"/>
  <c r="G71" i="122"/>
  <c r="V70" i="122"/>
  <c r="U70" i="122"/>
  <c r="O70" i="122"/>
  <c r="M70" i="122"/>
  <c r="K70" i="122"/>
  <c r="G70" i="122"/>
  <c r="V69" i="122"/>
  <c r="M69" i="122" s="1"/>
  <c r="U69" i="122"/>
  <c r="O69" i="122"/>
  <c r="K69" i="122"/>
  <c r="G69" i="122"/>
  <c r="V68" i="122"/>
  <c r="U68" i="122"/>
  <c r="O68" i="122"/>
  <c r="N68" i="122"/>
  <c r="Q68" i="122" s="1"/>
  <c r="M68" i="122"/>
  <c r="K68" i="122"/>
  <c r="G68" i="122"/>
  <c r="X67" i="122"/>
  <c r="W67" i="122"/>
  <c r="V67" i="122"/>
  <c r="O67" i="122"/>
  <c r="N67" i="122"/>
  <c r="P67" i="122" s="1"/>
  <c r="M67" i="122"/>
  <c r="AF67" i="122" s="1"/>
  <c r="K67" i="122"/>
  <c r="G67" i="122"/>
  <c r="AD66" i="122"/>
  <c r="J21" i="121" s="1"/>
  <c r="Z66" i="122"/>
  <c r="J19" i="121" s="1"/>
  <c r="Y66" i="122"/>
  <c r="O66" i="122"/>
  <c r="K66" i="122"/>
  <c r="V65" i="122"/>
  <c r="U65" i="122"/>
  <c r="O65" i="122"/>
  <c r="M65" i="122"/>
  <c r="AE65" i="122" s="1"/>
  <c r="K65" i="122"/>
  <c r="G65" i="122"/>
  <c r="V64" i="122"/>
  <c r="M64" i="122" s="1"/>
  <c r="N64" i="122" s="1"/>
  <c r="U64" i="122"/>
  <c r="O64" i="122"/>
  <c r="K64" i="122"/>
  <c r="G64" i="122"/>
  <c r="V63" i="122"/>
  <c r="U63" i="122"/>
  <c r="O63" i="122"/>
  <c r="M63" i="122"/>
  <c r="K63" i="122"/>
  <c r="G63" i="122"/>
  <c r="V62" i="122"/>
  <c r="O62" i="122"/>
  <c r="M62" i="122"/>
  <c r="K62" i="122"/>
  <c r="G62" i="122"/>
  <c r="AD61" i="122"/>
  <c r="I21" i="121" s="1"/>
  <c r="Z61" i="122"/>
  <c r="I19" i="121" s="1"/>
  <c r="Y61" i="122"/>
  <c r="I18" i="121" s="1"/>
  <c r="O61" i="122"/>
  <c r="K61" i="122"/>
  <c r="V60" i="122"/>
  <c r="U60" i="122"/>
  <c r="O60" i="122"/>
  <c r="M60" i="122"/>
  <c r="AF60" i="122" s="1"/>
  <c r="K60" i="122"/>
  <c r="G60" i="122"/>
  <c r="V59" i="122"/>
  <c r="M59" i="122" s="1"/>
  <c r="U59" i="122"/>
  <c r="O59" i="122"/>
  <c r="K59" i="122"/>
  <c r="G59" i="122"/>
  <c r="AE58" i="122"/>
  <c r="V58" i="122"/>
  <c r="U58" i="122"/>
  <c r="O58" i="122"/>
  <c r="N58" i="122"/>
  <c r="P58" i="122" s="1"/>
  <c r="M58" i="122"/>
  <c r="AF58" i="122" s="1"/>
  <c r="K58" i="122"/>
  <c r="G58" i="122"/>
  <c r="V57" i="122"/>
  <c r="M57" i="122" s="1"/>
  <c r="N57" i="122" s="1"/>
  <c r="U57" i="122"/>
  <c r="O57" i="122"/>
  <c r="K57" i="122"/>
  <c r="G57" i="122"/>
  <c r="V56" i="122"/>
  <c r="U56" i="122"/>
  <c r="O56" i="122"/>
  <c r="M56" i="122"/>
  <c r="AE56" i="122" s="1"/>
  <c r="K56" i="122"/>
  <c r="G56" i="122"/>
  <c r="V55" i="122"/>
  <c r="M55" i="122" s="1"/>
  <c r="N55" i="122" s="1"/>
  <c r="U55" i="122"/>
  <c r="O55" i="122"/>
  <c r="K55" i="122"/>
  <c r="G55" i="122"/>
  <c r="X54" i="122"/>
  <c r="W54" i="122"/>
  <c r="V54" i="122"/>
  <c r="M54" i="122" s="1"/>
  <c r="O54" i="122"/>
  <c r="K54" i="122"/>
  <c r="G54" i="122"/>
  <c r="AD53" i="122"/>
  <c r="Z53" i="122"/>
  <c r="Y53" i="122"/>
  <c r="O53" i="122"/>
  <c r="K53" i="122"/>
  <c r="V52" i="122"/>
  <c r="M52" i="122" s="1"/>
  <c r="U52" i="122"/>
  <c r="O52" i="122"/>
  <c r="K52" i="122"/>
  <c r="G52" i="122"/>
  <c r="AE51" i="122"/>
  <c r="V51" i="122"/>
  <c r="U51" i="122"/>
  <c r="O51" i="122"/>
  <c r="N51" i="122"/>
  <c r="P51" i="122" s="1"/>
  <c r="M51" i="122"/>
  <c r="AF51" i="122" s="1"/>
  <c r="K51" i="122"/>
  <c r="G51" i="122"/>
  <c r="AE50" i="122"/>
  <c r="V50" i="122"/>
  <c r="M50" i="122" s="1"/>
  <c r="N50" i="122" s="1"/>
  <c r="U50" i="122"/>
  <c r="O50" i="122"/>
  <c r="K50" i="122"/>
  <c r="G50" i="122"/>
  <c r="X49" i="122"/>
  <c r="W49" i="122"/>
  <c r="V49" i="122"/>
  <c r="O49" i="122"/>
  <c r="M49" i="122"/>
  <c r="K49" i="122"/>
  <c r="G49" i="122"/>
  <c r="AD48" i="122"/>
  <c r="Z48" i="122"/>
  <c r="Y48" i="122"/>
  <c r="O48" i="122"/>
  <c r="K48" i="122"/>
  <c r="L13" i="121" s="1"/>
  <c r="V47" i="122"/>
  <c r="M47" i="122" s="1"/>
  <c r="N47" i="122" s="1"/>
  <c r="U47" i="122"/>
  <c r="O47" i="122"/>
  <c r="K47" i="122"/>
  <c r="G47" i="122"/>
  <c r="V46" i="122"/>
  <c r="U46" i="122"/>
  <c r="O46" i="122"/>
  <c r="M46" i="122"/>
  <c r="AF46" i="122" s="1"/>
  <c r="K46" i="122"/>
  <c r="G46" i="122"/>
  <c r="V45" i="122"/>
  <c r="M45" i="122" s="1"/>
  <c r="U45" i="122"/>
  <c r="O45" i="122"/>
  <c r="K45" i="122"/>
  <c r="G45" i="122"/>
  <c r="X44" i="122"/>
  <c r="W44" i="122"/>
  <c r="V44" i="122"/>
  <c r="U44" i="122"/>
  <c r="O44" i="122"/>
  <c r="M44" i="122"/>
  <c r="AE44" i="122" s="1"/>
  <c r="K44" i="122"/>
  <c r="G44" i="122"/>
  <c r="AF43" i="122"/>
  <c r="AE43" i="122"/>
  <c r="V43" i="122"/>
  <c r="M43" i="122" s="1"/>
  <c r="N43" i="122" s="1"/>
  <c r="U43" i="122"/>
  <c r="O43" i="122"/>
  <c r="K43" i="122"/>
  <c r="G43" i="122"/>
  <c r="V42" i="122"/>
  <c r="U42" i="122"/>
  <c r="O42" i="122"/>
  <c r="N42" i="122"/>
  <c r="M42" i="122"/>
  <c r="K42" i="122"/>
  <c r="G42" i="122"/>
  <c r="V41" i="122"/>
  <c r="M41" i="122" s="1"/>
  <c r="U41" i="122"/>
  <c r="O41" i="122"/>
  <c r="K41" i="122"/>
  <c r="G41" i="122"/>
  <c r="X40" i="122"/>
  <c r="W40" i="122"/>
  <c r="V40" i="122"/>
  <c r="M40" i="122" s="1"/>
  <c r="O40" i="122"/>
  <c r="K40" i="122"/>
  <c r="G40" i="122"/>
  <c r="AD39" i="122"/>
  <c r="Z39" i="122"/>
  <c r="K19" i="121" s="1"/>
  <c r="Y39" i="122"/>
  <c r="O39" i="122"/>
  <c r="K39" i="122"/>
  <c r="K13" i="121" s="1"/>
  <c r="I6" i="121" s="1"/>
  <c r="AF38" i="122"/>
  <c r="AE38" i="122"/>
  <c r="V38" i="122"/>
  <c r="M38" i="122" s="1"/>
  <c r="N38" i="122" s="1"/>
  <c r="U38" i="122"/>
  <c r="O38" i="122"/>
  <c r="K38" i="122"/>
  <c r="G38" i="122"/>
  <c r="V37" i="122"/>
  <c r="U37" i="122"/>
  <c r="O37" i="122"/>
  <c r="M37" i="122"/>
  <c r="AE37" i="122" s="1"/>
  <c r="K37" i="122"/>
  <c r="G37" i="122"/>
  <c r="AF36" i="122"/>
  <c r="V36" i="122"/>
  <c r="M36" i="122" s="1"/>
  <c r="N36" i="122" s="1"/>
  <c r="U36" i="122"/>
  <c r="O36" i="122"/>
  <c r="K36" i="122"/>
  <c r="G36" i="122"/>
  <c r="X35" i="122"/>
  <c r="W35" i="122"/>
  <c r="V35" i="122"/>
  <c r="U35" i="122"/>
  <c r="P35" i="122"/>
  <c r="O35" i="122"/>
  <c r="N35" i="122"/>
  <c r="Q35" i="122" s="1"/>
  <c r="M35" i="122"/>
  <c r="K35" i="122"/>
  <c r="G35" i="122"/>
  <c r="V34" i="122"/>
  <c r="M34" i="122" s="1"/>
  <c r="U34" i="122"/>
  <c r="O34" i="122"/>
  <c r="K34" i="122"/>
  <c r="G34" i="122"/>
  <c r="V33" i="122"/>
  <c r="M33" i="122" s="1"/>
  <c r="U33" i="122"/>
  <c r="O33" i="122"/>
  <c r="K33" i="122"/>
  <c r="G33" i="122"/>
  <c r="V32" i="122"/>
  <c r="U32" i="122"/>
  <c r="O32" i="122"/>
  <c r="M32" i="122"/>
  <c r="AF32" i="122" s="1"/>
  <c r="K32" i="122"/>
  <c r="G32" i="122"/>
  <c r="AE31" i="122"/>
  <c r="X31" i="122"/>
  <c r="W31" i="122"/>
  <c r="V31" i="122"/>
  <c r="M31" i="122" s="1"/>
  <c r="AF31" i="122" s="1"/>
  <c r="O31" i="122"/>
  <c r="K31" i="122"/>
  <c r="G31" i="122"/>
  <c r="AD30" i="122"/>
  <c r="G21" i="121" s="1"/>
  <c r="Z30" i="122"/>
  <c r="G19" i="121" s="1"/>
  <c r="Y30" i="122"/>
  <c r="O30" i="122"/>
  <c r="K30" i="122"/>
  <c r="G13" i="121" s="1"/>
  <c r="V29" i="122"/>
  <c r="M29" i="122" s="1"/>
  <c r="U29" i="122"/>
  <c r="O29" i="122"/>
  <c r="K29" i="122"/>
  <c r="G29" i="122"/>
  <c r="V28" i="122"/>
  <c r="U28" i="122"/>
  <c r="O28" i="122"/>
  <c r="M28" i="122"/>
  <c r="K28" i="122"/>
  <c r="G28" i="122"/>
  <c r="V27" i="122"/>
  <c r="M27" i="122" s="1"/>
  <c r="U27" i="122"/>
  <c r="O27" i="122"/>
  <c r="K27" i="122"/>
  <c r="G27" i="122"/>
  <c r="V26" i="122"/>
  <c r="M26" i="122" s="1"/>
  <c r="U26" i="122"/>
  <c r="O26" i="122"/>
  <c r="K26" i="122"/>
  <c r="G26" i="122"/>
  <c r="V25" i="122"/>
  <c r="U25" i="122"/>
  <c r="O25" i="122"/>
  <c r="M25" i="122"/>
  <c r="AF25" i="122" s="1"/>
  <c r="K25" i="122"/>
  <c r="G25" i="122"/>
  <c r="V24" i="122"/>
  <c r="M24" i="122" s="1"/>
  <c r="N24" i="122" s="1"/>
  <c r="P24" i="122" s="1"/>
  <c r="U24" i="122"/>
  <c r="Q24" i="122"/>
  <c r="O24" i="122"/>
  <c r="K24" i="122"/>
  <c r="G24" i="122"/>
  <c r="V23" i="122"/>
  <c r="O23" i="122"/>
  <c r="M23" i="122"/>
  <c r="K23" i="122"/>
  <c r="G23" i="122"/>
  <c r="AD22" i="122"/>
  <c r="F21" i="121" s="1"/>
  <c r="Z22" i="122"/>
  <c r="F19" i="121" s="1"/>
  <c r="Y22" i="122"/>
  <c r="O22" i="122"/>
  <c r="K22" i="122"/>
  <c r="V21" i="122"/>
  <c r="U21" i="122"/>
  <c r="O21" i="122"/>
  <c r="M21" i="122"/>
  <c r="N21" i="122" s="1"/>
  <c r="K21" i="122"/>
  <c r="G21" i="122"/>
  <c r="V20" i="122"/>
  <c r="M20" i="122" s="1"/>
  <c r="U20" i="122"/>
  <c r="O20" i="122"/>
  <c r="K20" i="122"/>
  <c r="G20" i="122"/>
  <c r="V19" i="122"/>
  <c r="U19" i="122"/>
  <c r="O19" i="122"/>
  <c r="M19" i="122"/>
  <c r="K19" i="122"/>
  <c r="G19" i="122"/>
  <c r="V18" i="122"/>
  <c r="M18" i="122" s="1"/>
  <c r="U18" i="122"/>
  <c r="O18" i="122"/>
  <c r="K18" i="122"/>
  <c r="G18" i="122"/>
  <c r="V17" i="122"/>
  <c r="M17" i="122" s="1"/>
  <c r="U17" i="122"/>
  <c r="O17" i="122"/>
  <c r="K17" i="122"/>
  <c r="G17" i="122"/>
  <c r="V16" i="122"/>
  <c r="U16" i="122"/>
  <c r="O16" i="122"/>
  <c r="M16" i="122"/>
  <c r="AF16" i="122" s="1"/>
  <c r="K16" i="122"/>
  <c r="G16" i="122"/>
  <c r="X15" i="122"/>
  <c r="W15" i="122"/>
  <c r="V15" i="122"/>
  <c r="M15" i="122" s="1"/>
  <c r="AF15" i="122" s="1"/>
  <c r="O15" i="122"/>
  <c r="K15" i="122"/>
  <c r="G15" i="122"/>
  <c r="AD14" i="122"/>
  <c r="Z14" i="122"/>
  <c r="Z2" i="122" s="1"/>
  <c r="L6" i="121" s="1"/>
  <c r="Y14" i="122"/>
  <c r="O14" i="122"/>
  <c r="K14" i="122"/>
  <c r="E13" i="121" s="1"/>
  <c r="V13" i="122"/>
  <c r="M13" i="122" s="1"/>
  <c r="U13" i="122"/>
  <c r="O13" i="122"/>
  <c r="K13" i="122"/>
  <c r="G13" i="122"/>
  <c r="V12" i="122"/>
  <c r="U12" i="122"/>
  <c r="O12" i="122"/>
  <c r="M12" i="122"/>
  <c r="N12" i="122" s="1"/>
  <c r="K12" i="122"/>
  <c r="G12" i="122"/>
  <c r="X11" i="122"/>
  <c r="W11" i="122"/>
  <c r="V11" i="122"/>
  <c r="U11" i="122"/>
  <c r="O11" i="122"/>
  <c r="M11" i="122"/>
  <c r="AE11" i="122" s="1"/>
  <c r="K11" i="122"/>
  <c r="G11" i="122"/>
  <c r="V10" i="122"/>
  <c r="M10" i="122" s="1"/>
  <c r="N10" i="122" s="1"/>
  <c r="P10" i="122" s="1"/>
  <c r="U10" i="122"/>
  <c r="Q10" i="122"/>
  <c r="O10" i="122"/>
  <c r="K10" i="122"/>
  <c r="G10" i="122"/>
  <c r="X9" i="122"/>
  <c r="W9" i="122"/>
  <c r="V9" i="122"/>
  <c r="O9" i="122"/>
  <c r="M9" i="122"/>
  <c r="K9" i="122"/>
  <c r="G9" i="122"/>
  <c r="AD8" i="122"/>
  <c r="Z8" i="122"/>
  <c r="Y8" i="122"/>
  <c r="D18" i="121" s="1"/>
  <c r="O8" i="122"/>
  <c r="K8" i="122"/>
  <c r="V7" i="122"/>
  <c r="U7" i="122"/>
  <c r="O7" i="122"/>
  <c r="N7" i="122"/>
  <c r="P7" i="122" s="1"/>
  <c r="M7" i="122"/>
  <c r="K7" i="122"/>
  <c r="G7" i="122"/>
  <c r="V6" i="122"/>
  <c r="M6" i="122" s="1"/>
  <c r="U6" i="122"/>
  <c r="O6" i="122"/>
  <c r="K6" i="122"/>
  <c r="G6" i="122"/>
  <c r="V5" i="122"/>
  <c r="M5" i="122" s="1"/>
  <c r="AE5" i="122" s="1"/>
  <c r="O5" i="122"/>
  <c r="K5" i="122"/>
  <c r="G5" i="122"/>
  <c r="H2" i="122"/>
  <c r="H1" i="122"/>
  <c r="D1" i="122"/>
  <c r="M22" i="121"/>
  <c r="L22" i="121"/>
  <c r="K22" i="121"/>
  <c r="J22" i="121"/>
  <c r="I22" i="121"/>
  <c r="H22" i="121"/>
  <c r="G22" i="121"/>
  <c r="F22" i="121"/>
  <c r="E22" i="121"/>
  <c r="D22" i="121"/>
  <c r="M21" i="121"/>
  <c r="L21" i="121"/>
  <c r="K21" i="121"/>
  <c r="H21" i="121"/>
  <c r="E21" i="121"/>
  <c r="M20" i="121"/>
  <c r="L20" i="121"/>
  <c r="K20" i="121"/>
  <c r="J20" i="121"/>
  <c r="I20" i="121"/>
  <c r="H20" i="121"/>
  <c r="G20" i="121"/>
  <c r="F20" i="121"/>
  <c r="E20" i="121"/>
  <c r="D20" i="121"/>
  <c r="L19" i="121"/>
  <c r="H19" i="121"/>
  <c r="E19" i="121"/>
  <c r="D19" i="121"/>
  <c r="M18" i="121"/>
  <c r="L18" i="121"/>
  <c r="K18" i="121"/>
  <c r="J18" i="121"/>
  <c r="H18" i="121"/>
  <c r="G18" i="121"/>
  <c r="F18" i="121"/>
  <c r="E18" i="121"/>
  <c r="M17" i="121"/>
  <c r="L17" i="121"/>
  <c r="K17" i="121"/>
  <c r="J17" i="121"/>
  <c r="I17" i="121"/>
  <c r="H17" i="121"/>
  <c r="G17" i="121"/>
  <c r="F17" i="121"/>
  <c r="E17" i="121"/>
  <c r="D17" i="121"/>
  <c r="M16" i="121"/>
  <c r="L16" i="121"/>
  <c r="K16" i="121"/>
  <c r="J16" i="121"/>
  <c r="I16" i="121"/>
  <c r="H16" i="121"/>
  <c r="G16" i="121"/>
  <c r="F16" i="121"/>
  <c r="E16" i="121"/>
  <c r="D16" i="121"/>
  <c r="M13" i="121"/>
  <c r="J13" i="121"/>
  <c r="I13" i="121"/>
  <c r="H13" i="121"/>
  <c r="F13" i="121"/>
  <c r="D13" i="121"/>
  <c r="M6" i="121"/>
  <c r="F3" i="121"/>
  <c r="C3" i="121"/>
  <c r="G8" i="129" l="1"/>
  <c r="F8" i="129"/>
  <c r="E8" i="129"/>
  <c r="E8" i="125"/>
  <c r="P48" i="124"/>
  <c r="L14" i="123"/>
  <c r="L15" i="123" s="1"/>
  <c r="Q48" i="124"/>
  <c r="R40" i="124" s="1"/>
  <c r="M14" i="123"/>
  <c r="M15" i="123" s="1"/>
  <c r="Q73" i="124"/>
  <c r="R67" i="124" s="1"/>
  <c r="P73" i="124"/>
  <c r="Q30" i="124"/>
  <c r="R23" i="124" s="1"/>
  <c r="G14" i="123"/>
  <c r="G15" i="123" s="1"/>
  <c r="P30" i="124"/>
  <c r="D2" i="124"/>
  <c r="D15" i="123"/>
  <c r="Q23" i="124"/>
  <c r="P23" i="124"/>
  <c r="AF39" i="124"/>
  <c r="AG31" i="124" s="1"/>
  <c r="AE39" i="124"/>
  <c r="N39" i="124"/>
  <c r="P12" i="122"/>
  <c r="Q12" i="122"/>
  <c r="Q21" i="122"/>
  <c r="P21" i="122"/>
  <c r="P47" i="122"/>
  <c r="Q47" i="122"/>
  <c r="AD2" i="122"/>
  <c r="N6" i="121" s="1"/>
  <c r="M14" i="122"/>
  <c r="AF54" i="122"/>
  <c r="AE54" i="122"/>
  <c r="M61" i="122"/>
  <c r="Q57" i="122"/>
  <c r="P57" i="122"/>
  <c r="F1" i="122"/>
  <c r="AE34" i="122"/>
  <c r="N34" i="122"/>
  <c r="AF34" i="122"/>
  <c r="AF49" i="122"/>
  <c r="AE49" i="122"/>
  <c r="M53" i="122"/>
  <c r="AE57" i="122"/>
  <c r="G6" i="121"/>
  <c r="P43" i="122"/>
  <c r="Q43" i="122"/>
  <c r="N49" i="122"/>
  <c r="AF57" i="122"/>
  <c r="M8" i="122"/>
  <c r="AF5" i="122"/>
  <c r="N5" i="122"/>
  <c r="AE9" i="122"/>
  <c r="AF9" i="122"/>
  <c r="M48" i="122"/>
  <c r="AE40" i="122"/>
  <c r="AF40" i="122"/>
  <c r="N40" i="122"/>
  <c r="N69" i="122"/>
  <c r="AF69" i="122"/>
  <c r="AE69" i="122"/>
  <c r="N9" i="122"/>
  <c r="AE23" i="122"/>
  <c r="AF23" i="122"/>
  <c r="N23" i="122"/>
  <c r="AE35" i="122"/>
  <c r="AF35" i="122"/>
  <c r="AE6" i="122"/>
  <c r="AF6" i="122"/>
  <c r="N6" i="122"/>
  <c r="N29" i="122"/>
  <c r="AF29" i="122"/>
  <c r="AE29" i="122"/>
  <c r="AE70" i="122"/>
  <c r="AF70" i="122"/>
  <c r="P55" i="122"/>
  <c r="Q55" i="122"/>
  <c r="P64" i="122"/>
  <c r="Q64" i="122"/>
  <c r="N70" i="122"/>
  <c r="AF17" i="122"/>
  <c r="N17" i="122"/>
  <c r="AE17" i="122"/>
  <c r="M30" i="122"/>
  <c r="AF52" i="122"/>
  <c r="AE52" i="122"/>
  <c r="N52" i="122"/>
  <c r="AE55" i="122"/>
  <c r="AE64" i="122"/>
  <c r="AF12" i="122"/>
  <c r="AE12" i="122"/>
  <c r="N20" i="122"/>
  <c r="AF20" i="122"/>
  <c r="AE20" i="122"/>
  <c r="AF26" i="122"/>
  <c r="N26" i="122"/>
  <c r="AE26" i="122"/>
  <c r="AF7" i="122"/>
  <c r="AE7" i="122"/>
  <c r="Q38" i="122"/>
  <c r="P38" i="122"/>
  <c r="AF55" i="122"/>
  <c r="AF64" i="122"/>
  <c r="Q50" i="122"/>
  <c r="P50" i="122"/>
  <c r="AE21" i="122"/>
  <c r="AF21" i="122"/>
  <c r="N41" i="122"/>
  <c r="AF41" i="122"/>
  <c r="AE41" i="122"/>
  <c r="Q7" i="122"/>
  <c r="AE15" i="122"/>
  <c r="AE18" i="122"/>
  <c r="N18" i="122"/>
  <c r="AF18" i="122"/>
  <c r="AE24" i="122"/>
  <c r="AE42" i="122"/>
  <c r="AF42" i="122"/>
  <c r="AE47" i="122"/>
  <c r="AF47" i="122"/>
  <c r="AF50" i="122"/>
  <c r="M66" i="122"/>
  <c r="AF68" i="122"/>
  <c r="M74" i="122"/>
  <c r="AE68" i="122"/>
  <c r="AF24" i="122"/>
  <c r="N15" i="122"/>
  <c r="M22" i="122"/>
  <c r="AE27" i="122"/>
  <c r="N27" i="122"/>
  <c r="AF27" i="122"/>
  <c r="AF73" i="122"/>
  <c r="AE73" i="122"/>
  <c r="N73" i="122"/>
  <c r="AE10" i="122"/>
  <c r="AF28" i="122"/>
  <c r="AE28" i="122"/>
  <c r="P71" i="122"/>
  <c r="Q71" i="122"/>
  <c r="Q42" i="122"/>
  <c r="P42" i="122"/>
  <c r="AF10" i="122"/>
  <c r="AF19" i="122"/>
  <c r="AE19" i="122"/>
  <c r="N28" i="122"/>
  <c r="AF33" i="122"/>
  <c r="N33" i="122"/>
  <c r="AE33" i="122"/>
  <c r="P36" i="122"/>
  <c r="Q36" i="122"/>
  <c r="N54" i="122"/>
  <c r="P68" i="122"/>
  <c r="N19" i="122"/>
  <c r="AE36" i="122"/>
  <c r="AF59" i="122"/>
  <c r="AE59" i="122"/>
  <c r="N59" i="122"/>
  <c r="N13" i="122"/>
  <c r="AF13" i="122"/>
  <c r="AE13" i="122"/>
  <c r="N31" i="122"/>
  <c r="M39" i="122"/>
  <c r="AE63" i="122"/>
  <c r="AF63" i="122"/>
  <c r="AE71" i="122"/>
  <c r="AF45" i="122"/>
  <c r="AE45" i="122"/>
  <c r="N45" i="122"/>
  <c r="N63" i="122"/>
  <c r="AF71" i="122"/>
  <c r="E6" i="121"/>
  <c r="Q58" i="122"/>
  <c r="Q67" i="122"/>
  <c r="Q72" i="122"/>
  <c r="AF11" i="122"/>
  <c r="AE62" i="122"/>
  <c r="AF62" i="122"/>
  <c r="N37" i="122"/>
  <c r="N44" i="122"/>
  <c r="N56" i="122"/>
  <c r="N65" i="122"/>
  <c r="Q51" i="122"/>
  <c r="F6" i="121"/>
  <c r="D21" i="121"/>
  <c r="N11" i="122"/>
  <c r="N16" i="122"/>
  <c r="N25" i="122"/>
  <c r="N32" i="122"/>
  <c r="N46" i="122"/>
  <c r="N60" i="122"/>
  <c r="Y2" i="122"/>
  <c r="K6" i="121" s="1"/>
  <c r="AF37" i="122"/>
  <c r="AF56" i="122"/>
  <c r="AF65" i="122"/>
  <c r="N62" i="122"/>
  <c r="AE16" i="122"/>
  <c r="AE25" i="122"/>
  <c r="AE32" i="122"/>
  <c r="AF44" i="122"/>
  <c r="AE46" i="122"/>
  <c r="AE60" i="122"/>
  <c r="AE67" i="122"/>
  <c r="AF64" i="120"/>
  <c r="AE64" i="120"/>
  <c r="AD64" i="120"/>
  <c r="Z64" i="120"/>
  <c r="Y64" i="120"/>
  <c r="O64" i="120"/>
  <c r="N64" i="120"/>
  <c r="Q64" i="120" s="1"/>
  <c r="R59" i="120" s="1"/>
  <c r="M64" i="120"/>
  <c r="K64" i="120"/>
  <c r="AF63" i="120"/>
  <c r="AE63" i="120"/>
  <c r="V63" i="120"/>
  <c r="U63" i="120"/>
  <c r="P63" i="120"/>
  <c r="O63" i="120"/>
  <c r="N63" i="120"/>
  <c r="Q63" i="120" s="1"/>
  <c r="M63" i="120"/>
  <c r="K63" i="120"/>
  <c r="G63" i="120"/>
  <c r="AF62" i="120"/>
  <c r="AE62" i="120"/>
  <c r="V62" i="120"/>
  <c r="U62" i="120"/>
  <c r="Q62" i="120"/>
  <c r="P62" i="120"/>
  <c r="O62" i="120"/>
  <c r="N62" i="120"/>
  <c r="M62" i="120"/>
  <c r="K62" i="120"/>
  <c r="G62" i="120"/>
  <c r="AF61" i="120"/>
  <c r="AE61" i="120"/>
  <c r="V61" i="120"/>
  <c r="U61" i="120"/>
  <c r="Q61" i="120"/>
  <c r="P61" i="120"/>
  <c r="O61" i="120"/>
  <c r="N61" i="120"/>
  <c r="M61" i="120"/>
  <c r="K61" i="120"/>
  <c r="G61" i="120"/>
  <c r="AF60" i="120"/>
  <c r="AE60" i="120"/>
  <c r="V60" i="120"/>
  <c r="U60" i="120"/>
  <c r="P60" i="120"/>
  <c r="O60" i="120"/>
  <c r="N60" i="120"/>
  <c r="Q60" i="120" s="1"/>
  <c r="M60" i="120"/>
  <c r="K60" i="120"/>
  <c r="G60" i="120"/>
  <c r="AG59" i="120"/>
  <c r="AF59" i="120"/>
  <c r="AE59" i="120"/>
  <c r="X59" i="120"/>
  <c r="W59" i="120"/>
  <c r="V59" i="120"/>
  <c r="Q59" i="120"/>
  <c r="P59" i="120"/>
  <c r="O59" i="120"/>
  <c r="N59" i="120"/>
  <c r="M59" i="120"/>
  <c r="K59" i="120"/>
  <c r="G59" i="120"/>
  <c r="AD58" i="120"/>
  <c r="Z58" i="120"/>
  <c r="Y58" i="120"/>
  <c r="O58" i="120"/>
  <c r="K58" i="120"/>
  <c r="AF57" i="120"/>
  <c r="AE57" i="120"/>
  <c r="V57" i="120"/>
  <c r="U57" i="120"/>
  <c r="P57" i="120"/>
  <c r="O57" i="120"/>
  <c r="N57" i="120"/>
  <c r="Q57" i="120" s="1"/>
  <c r="M57" i="120"/>
  <c r="K57" i="120"/>
  <c r="G57" i="120"/>
  <c r="AF56" i="120"/>
  <c r="AE56" i="120"/>
  <c r="V56" i="120"/>
  <c r="U56" i="120"/>
  <c r="O56" i="120"/>
  <c r="N56" i="120"/>
  <c r="P56" i="120" s="1"/>
  <c r="M56" i="120"/>
  <c r="K56" i="120"/>
  <c r="G56" i="120"/>
  <c r="AE55" i="120"/>
  <c r="V55" i="120"/>
  <c r="U55" i="120"/>
  <c r="O55" i="120"/>
  <c r="M55" i="120"/>
  <c r="N55" i="120" s="1"/>
  <c r="K55" i="120"/>
  <c r="G55" i="120"/>
  <c r="AE54" i="120"/>
  <c r="V54" i="120"/>
  <c r="O54" i="120"/>
  <c r="M54" i="120"/>
  <c r="N54" i="120" s="1"/>
  <c r="K54" i="120"/>
  <c r="G54" i="120"/>
  <c r="AD53" i="120"/>
  <c r="Z53" i="120"/>
  <c r="Y53" i="120"/>
  <c r="O53" i="120"/>
  <c r="K53" i="120"/>
  <c r="AF52" i="120"/>
  <c r="AE52" i="120"/>
  <c r="V52" i="120"/>
  <c r="U52" i="120"/>
  <c r="Q52" i="120"/>
  <c r="P52" i="120"/>
  <c r="O52" i="120"/>
  <c r="N52" i="120"/>
  <c r="M52" i="120"/>
  <c r="K52" i="120"/>
  <c r="G52" i="120"/>
  <c r="AE51" i="120"/>
  <c r="V51" i="120"/>
  <c r="U51" i="120"/>
  <c r="O51" i="120"/>
  <c r="N51" i="120"/>
  <c r="P51" i="120" s="1"/>
  <c r="M51" i="120"/>
  <c r="AF51" i="120" s="1"/>
  <c r="K51" i="120"/>
  <c r="G51" i="120"/>
  <c r="V50" i="120"/>
  <c r="U50" i="120"/>
  <c r="O50" i="120"/>
  <c r="M50" i="120"/>
  <c r="N50" i="120" s="1"/>
  <c r="K50" i="120"/>
  <c r="G50" i="120"/>
  <c r="AF49" i="120"/>
  <c r="AE49" i="120"/>
  <c r="V49" i="120"/>
  <c r="U49" i="120"/>
  <c r="O49" i="120"/>
  <c r="N49" i="120"/>
  <c r="Q49" i="120" s="1"/>
  <c r="M49" i="120"/>
  <c r="K49" i="120"/>
  <c r="G49" i="120"/>
  <c r="AF48" i="120"/>
  <c r="AE48" i="120"/>
  <c r="V48" i="120"/>
  <c r="U48" i="120"/>
  <c r="O48" i="120"/>
  <c r="N48" i="120"/>
  <c r="Q48" i="120" s="1"/>
  <c r="M48" i="120"/>
  <c r="K48" i="120"/>
  <c r="G48" i="120"/>
  <c r="AF47" i="120"/>
  <c r="AE47" i="120"/>
  <c r="V47" i="120"/>
  <c r="U47" i="120"/>
  <c r="P47" i="120"/>
  <c r="O47" i="120"/>
  <c r="N47" i="120"/>
  <c r="Q47" i="120" s="1"/>
  <c r="M47" i="120"/>
  <c r="K47" i="120"/>
  <c r="G47" i="120"/>
  <c r="AF46" i="120"/>
  <c r="AE46" i="120"/>
  <c r="X46" i="120"/>
  <c r="W46" i="120"/>
  <c r="V46" i="120"/>
  <c r="O46" i="120"/>
  <c r="N46" i="120"/>
  <c r="Q46" i="120" s="1"/>
  <c r="M46" i="120"/>
  <c r="K46" i="120"/>
  <c r="G46" i="120"/>
  <c r="AF45" i="120"/>
  <c r="AE45" i="120"/>
  <c r="AD45" i="120"/>
  <c r="Z45" i="120"/>
  <c r="Y45" i="120"/>
  <c r="O45" i="120"/>
  <c r="N45" i="120"/>
  <c r="Q45" i="120" s="1"/>
  <c r="R41" i="120" s="1"/>
  <c r="M45" i="120"/>
  <c r="K45" i="120"/>
  <c r="AF44" i="120"/>
  <c r="AE44" i="120"/>
  <c r="V44" i="120"/>
  <c r="U44" i="120"/>
  <c r="P44" i="120"/>
  <c r="O44" i="120"/>
  <c r="N44" i="120"/>
  <c r="Q44" i="120" s="1"/>
  <c r="M44" i="120"/>
  <c r="K44" i="120"/>
  <c r="G44" i="120"/>
  <c r="AF43" i="120"/>
  <c r="AE43" i="120"/>
  <c r="V43" i="120"/>
  <c r="U43" i="120"/>
  <c r="Q43" i="120"/>
  <c r="P43" i="120"/>
  <c r="O43" i="120"/>
  <c r="N43" i="120"/>
  <c r="M43" i="120"/>
  <c r="K43" i="120"/>
  <c r="G43" i="120"/>
  <c r="AF42" i="120"/>
  <c r="AE42" i="120"/>
  <c r="V42" i="120"/>
  <c r="U42" i="120"/>
  <c r="Q42" i="120"/>
  <c r="P42" i="120"/>
  <c r="O42" i="120"/>
  <c r="N42" i="120"/>
  <c r="M42" i="120"/>
  <c r="K42" i="120"/>
  <c r="G42" i="120"/>
  <c r="AG41" i="120"/>
  <c r="AF41" i="120"/>
  <c r="AE41" i="120"/>
  <c r="X41" i="120"/>
  <c r="W41" i="120"/>
  <c r="V41" i="120"/>
  <c r="P41" i="120"/>
  <c r="O41" i="120"/>
  <c r="N41" i="120"/>
  <c r="Q41" i="120" s="1"/>
  <c r="M41" i="120"/>
  <c r="K41" i="120"/>
  <c r="G41" i="120"/>
  <c r="AF40" i="120"/>
  <c r="AG35" i="120" s="1"/>
  <c r="AD40" i="120"/>
  <c r="Z40" i="120"/>
  <c r="Y40" i="120"/>
  <c r="O40" i="120"/>
  <c r="M40" i="120"/>
  <c r="N40" i="120" s="1"/>
  <c r="K40" i="120"/>
  <c r="AF39" i="120"/>
  <c r="AE39" i="120"/>
  <c r="V39" i="120"/>
  <c r="U39" i="120"/>
  <c r="Q39" i="120"/>
  <c r="P39" i="120"/>
  <c r="O39" i="120"/>
  <c r="N39" i="120"/>
  <c r="M39" i="120"/>
  <c r="K39" i="120"/>
  <c r="G39" i="120"/>
  <c r="AF38" i="120"/>
  <c r="AE38" i="120"/>
  <c r="V38" i="120"/>
  <c r="U38" i="120"/>
  <c r="P38" i="120"/>
  <c r="O38" i="120"/>
  <c r="N38" i="120"/>
  <c r="Q38" i="120" s="1"/>
  <c r="M38" i="120"/>
  <c r="K38" i="120"/>
  <c r="G38" i="120"/>
  <c r="AF37" i="120"/>
  <c r="AE37" i="120"/>
  <c r="V37" i="120"/>
  <c r="U37" i="120"/>
  <c r="O37" i="120"/>
  <c r="N37" i="120"/>
  <c r="P37" i="120" s="1"/>
  <c r="M37" i="120"/>
  <c r="K37" i="120"/>
  <c r="G37" i="120"/>
  <c r="AE36" i="120"/>
  <c r="V36" i="120"/>
  <c r="U36" i="120"/>
  <c r="O36" i="120"/>
  <c r="M36" i="120"/>
  <c r="N36" i="120" s="1"/>
  <c r="K36" i="120"/>
  <c r="G36" i="120"/>
  <c r="AF35" i="120"/>
  <c r="AE35" i="120"/>
  <c r="X35" i="120"/>
  <c r="W35" i="120"/>
  <c r="V35" i="120"/>
  <c r="P35" i="120"/>
  <c r="O35" i="120"/>
  <c r="N35" i="120"/>
  <c r="Q35" i="120" s="1"/>
  <c r="M35" i="120"/>
  <c r="K35" i="120"/>
  <c r="G35" i="120"/>
  <c r="AD34" i="120"/>
  <c r="Z34" i="120"/>
  <c r="Y34" i="120"/>
  <c r="O34" i="120"/>
  <c r="K34" i="120"/>
  <c r="AE33" i="120"/>
  <c r="V33" i="120"/>
  <c r="U33" i="120"/>
  <c r="O33" i="120"/>
  <c r="M33" i="120"/>
  <c r="N33" i="120" s="1"/>
  <c r="K33" i="120"/>
  <c r="G33" i="120"/>
  <c r="V32" i="120"/>
  <c r="U32" i="120"/>
  <c r="O32" i="120"/>
  <c r="M32" i="120"/>
  <c r="N32" i="120" s="1"/>
  <c r="K32" i="120"/>
  <c r="G32" i="120"/>
  <c r="AF31" i="120"/>
  <c r="AE31" i="120"/>
  <c r="V31" i="120"/>
  <c r="U31" i="120"/>
  <c r="Q31" i="120"/>
  <c r="P31" i="120"/>
  <c r="O31" i="120"/>
  <c r="N31" i="120"/>
  <c r="M31" i="120"/>
  <c r="K31" i="120"/>
  <c r="G31" i="120"/>
  <c r="AE30" i="120"/>
  <c r="V30" i="120"/>
  <c r="U30" i="120"/>
  <c r="O30" i="120"/>
  <c r="N30" i="120"/>
  <c r="P30" i="120" s="1"/>
  <c r="M30" i="120"/>
  <c r="AF30" i="120" s="1"/>
  <c r="K30" i="120"/>
  <c r="G30" i="120"/>
  <c r="AE29" i="120"/>
  <c r="X29" i="120"/>
  <c r="W29" i="120"/>
  <c r="V29" i="120"/>
  <c r="O29" i="120"/>
  <c r="M29" i="120"/>
  <c r="N29" i="120" s="1"/>
  <c r="K29" i="120"/>
  <c r="G29" i="120"/>
  <c r="AD28" i="120"/>
  <c r="Z28" i="120"/>
  <c r="Y28" i="120"/>
  <c r="O28" i="120"/>
  <c r="K28" i="120"/>
  <c r="AE27" i="120"/>
  <c r="V27" i="120"/>
  <c r="U27" i="120"/>
  <c r="O27" i="120"/>
  <c r="N27" i="120"/>
  <c r="P27" i="120" s="1"/>
  <c r="M27" i="120"/>
  <c r="AF27" i="120" s="1"/>
  <c r="K27" i="120"/>
  <c r="G27" i="120"/>
  <c r="V26" i="120"/>
  <c r="U26" i="120"/>
  <c r="O26" i="120"/>
  <c r="M26" i="120"/>
  <c r="N26" i="120" s="1"/>
  <c r="K26" i="120"/>
  <c r="G26" i="120"/>
  <c r="AF25" i="120"/>
  <c r="AE25" i="120"/>
  <c r="V25" i="120"/>
  <c r="U25" i="120"/>
  <c r="O25" i="120"/>
  <c r="N25" i="120"/>
  <c r="Q25" i="120" s="1"/>
  <c r="M25" i="120"/>
  <c r="K25" i="120"/>
  <c r="G25" i="120"/>
  <c r="AF24" i="120"/>
  <c r="AE24" i="120"/>
  <c r="V24" i="120"/>
  <c r="U24" i="120"/>
  <c r="O24" i="120"/>
  <c r="N24" i="120"/>
  <c r="Q24" i="120" s="1"/>
  <c r="M24" i="120"/>
  <c r="K24" i="120"/>
  <c r="G24" i="120"/>
  <c r="AF23" i="120"/>
  <c r="AE23" i="120"/>
  <c r="V23" i="120"/>
  <c r="U23" i="120"/>
  <c r="P23" i="120"/>
  <c r="O23" i="120"/>
  <c r="N23" i="120"/>
  <c r="Q23" i="120" s="1"/>
  <c r="M23" i="120"/>
  <c r="K23" i="120"/>
  <c r="G23" i="120"/>
  <c r="AF22" i="120"/>
  <c r="AE22" i="120"/>
  <c r="V22" i="120"/>
  <c r="U22" i="120"/>
  <c r="Q22" i="120"/>
  <c r="P22" i="120"/>
  <c r="O22" i="120"/>
  <c r="N22" i="120"/>
  <c r="M22" i="120"/>
  <c r="K22" i="120"/>
  <c r="G22" i="120"/>
  <c r="AF21" i="120"/>
  <c r="AE21" i="120"/>
  <c r="V21" i="120"/>
  <c r="Q21" i="120"/>
  <c r="P21" i="120"/>
  <c r="O21" i="120"/>
  <c r="N21" i="120"/>
  <c r="M21" i="120"/>
  <c r="K21" i="120"/>
  <c r="G21" i="120"/>
  <c r="AD20" i="120"/>
  <c r="Z20" i="120"/>
  <c r="Y20" i="120"/>
  <c r="O20" i="120"/>
  <c r="K20" i="120"/>
  <c r="AF19" i="120"/>
  <c r="AE19" i="120"/>
  <c r="V19" i="120"/>
  <c r="U19" i="120"/>
  <c r="P19" i="120"/>
  <c r="O19" i="120"/>
  <c r="N19" i="120"/>
  <c r="Q19" i="120" s="1"/>
  <c r="M19" i="120"/>
  <c r="K19" i="120"/>
  <c r="G19" i="120"/>
  <c r="AF18" i="120"/>
  <c r="AE18" i="120"/>
  <c r="V18" i="120"/>
  <c r="U18" i="120"/>
  <c r="O18" i="120"/>
  <c r="N18" i="120"/>
  <c r="P18" i="120" s="1"/>
  <c r="M18" i="120"/>
  <c r="K18" i="120"/>
  <c r="G18" i="120"/>
  <c r="AE17" i="120"/>
  <c r="V17" i="120"/>
  <c r="U17" i="120"/>
  <c r="O17" i="120"/>
  <c r="M17" i="120"/>
  <c r="N17" i="120" s="1"/>
  <c r="K17" i="120"/>
  <c r="G17" i="120"/>
  <c r="V16" i="120"/>
  <c r="U16" i="120"/>
  <c r="O16" i="120"/>
  <c r="M16" i="120"/>
  <c r="N16" i="120" s="1"/>
  <c r="K16" i="120"/>
  <c r="G16" i="120"/>
  <c r="AF15" i="120"/>
  <c r="AE15" i="120"/>
  <c r="V15" i="120"/>
  <c r="U15" i="120"/>
  <c r="Q15" i="120"/>
  <c r="P15" i="120"/>
  <c r="O15" i="120"/>
  <c r="N15" i="120"/>
  <c r="M15" i="120"/>
  <c r="K15" i="120"/>
  <c r="G15" i="120"/>
  <c r="AE14" i="120"/>
  <c r="V14" i="120"/>
  <c r="U14" i="120"/>
  <c r="O14" i="120"/>
  <c r="N14" i="120"/>
  <c r="P14" i="120" s="1"/>
  <c r="M14" i="120"/>
  <c r="AF14" i="120" s="1"/>
  <c r="K14" i="120"/>
  <c r="G14" i="120"/>
  <c r="AE13" i="120"/>
  <c r="X13" i="120"/>
  <c r="W13" i="120"/>
  <c r="V13" i="120"/>
  <c r="O13" i="120"/>
  <c r="M13" i="120"/>
  <c r="N13" i="120" s="1"/>
  <c r="K13" i="120"/>
  <c r="G13" i="120"/>
  <c r="AD12" i="120"/>
  <c r="Z12" i="120"/>
  <c r="Y12" i="120"/>
  <c r="O12" i="120"/>
  <c r="K12" i="120"/>
  <c r="AE11" i="120"/>
  <c r="V11" i="120"/>
  <c r="U11" i="120"/>
  <c r="O11" i="120"/>
  <c r="N11" i="120"/>
  <c r="P11" i="120" s="1"/>
  <c r="M11" i="120"/>
  <c r="AF11" i="120" s="1"/>
  <c r="K11" i="120"/>
  <c r="G11" i="120"/>
  <c r="V10" i="120"/>
  <c r="U10" i="120"/>
  <c r="O10" i="120"/>
  <c r="M10" i="120"/>
  <c r="N10" i="120" s="1"/>
  <c r="K10" i="120"/>
  <c r="G10" i="120"/>
  <c r="AF9" i="120"/>
  <c r="AE9" i="120"/>
  <c r="X9" i="120"/>
  <c r="W9" i="120"/>
  <c r="V9" i="120"/>
  <c r="Q9" i="120"/>
  <c r="P9" i="120"/>
  <c r="O9" i="120"/>
  <c r="N9" i="120"/>
  <c r="M9" i="120"/>
  <c r="K9" i="120"/>
  <c r="G9" i="120"/>
  <c r="AD8" i="120"/>
  <c r="Z8" i="120"/>
  <c r="Y8" i="120"/>
  <c r="O8" i="120"/>
  <c r="K8" i="120"/>
  <c r="V7" i="120"/>
  <c r="U7" i="120"/>
  <c r="O7" i="120"/>
  <c r="M7" i="120"/>
  <c r="M8" i="120" s="1"/>
  <c r="K7" i="120"/>
  <c r="G7" i="120"/>
  <c r="AF6" i="120"/>
  <c r="AE6" i="120"/>
  <c r="V6" i="120"/>
  <c r="U6" i="120"/>
  <c r="O6" i="120"/>
  <c r="N6" i="120"/>
  <c r="Q6" i="120" s="1"/>
  <c r="M6" i="120"/>
  <c r="K6" i="120"/>
  <c r="G6" i="120"/>
  <c r="AF5" i="120"/>
  <c r="AE5" i="120"/>
  <c r="V5" i="120"/>
  <c r="O5" i="120"/>
  <c r="N5" i="120"/>
  <c r="Q5" i="120" s="1"/>
  <c r="M5" i="120"/>
  <c r="K5" i="120"/>
  <c r="G5" i="120"/>
  <c r="AD2" i="120"/>
  <c r="Z2" i="120"/>
  <c r="Y2" i="120"/>
  <c r="K6" i="119" s="1"/>
  <c r="H2" i="120"/>
  <c r="H1" i="120"/>
  <c r="F1" i="120"/>
  <c r="F2" i="120" s="1"/>
  <c r="D1" i="120"/>
  <c r="M22" i="119"/>
  <c r="L22" i="119"/>
  <c r="K22" i="119"/>
  <c r="J22" i="119"/>
  <c r="I22" i="119"/>
  <c r="H22" i="119"/>
  <c r="G22" i="119"/>
  <c r="F22" i="119"/>
  <c r="E22" i="119"/>
  <c r="D22" i="119"/>
  <c r="M21" i="119"/>
  <c r="L21" i="119"/>
  <c r="K21" i="119"/>
  <c r="J21" i="119"/>
  <c r="I21" i="119"/>
  <c r="H21" i="119"/>
  <c r="G21" i="119"/>
  <c r="F21" i="119"/>
  <c r="E21" i="119"/>
  <c r="D21" i="119"/>
  <c r="M20" i="119"/>
  <c r="L20" i="119"/>
  <c r="K20" i="119"/>
  <c r="J20" i="119"/>
  <c r="I20" i="119"/>
  <c r="H20" i="119"/>
  <c r="G20" i="119"/>
  <c r="F20" i="119"/>
  <c r="E20" i="119"/>
  <c r="D20" i="119"/>
  <c r="M19" i="119"/>
  <c r="L19" i="119"/>
  <c r="K19" i="119"/>
  <c r="J19" i="119"/>
  <c r="I19" i="119"/>
  <c r="H19" i="119"/>
  <c r="G19" i="119"/>
  <c r="F19" i="119"/>
  <c r="E19" i="119"/>
  <c r="D19" i="119"/>
  <c r="M18" i="119"/>
  <c r="L18" i="119"/>
  <c r="K18" i="119"/>
  <c r="J18" i="119"/>
  <c r="I18" i="119"/>
  <c r="H18" i="119"/>
  <c r="G18" i="119"/>
  <c r="F18" i="119"/>
  <c r="E18" i="119"/>
  <c r="D18" i="119"/>
  <c r="M17" i="119"/>
  <c r="L17" i="119"/>
  <c r="K17" i="119"/>
  <c r="J17" i="119"/>
  <c r="I17" i="119"/>
  <c r="H17" i="119"/>
  <c r="G17" i="119"/>
  <c r="F17" i="119"/>
  <c r="E17" i="119"/>
  <c r="D17" i="119"/>
  <c r="M16" i="119"/>
  <c r="L16" i="119"/>
  <c r="K16" i="119"/>
  <c r="J16" i="119"/>
  <c r="I16" i="119"/>
  <c r="H16" i="119"/>
  <c r="G16" i="119"/>
  <c r="F16" i="119"/>
  <c r="E16" i="119"/>
  <c r="D16" i="119"/>
  <c r="H14" i="119"/>
  <c r="H15" i="119" s="1"/>
  <c r="M13" i="119"/>
  <c r="L13" i="119"/>
  <c r="I6" i="119" s="1"/>
  <c r="K13" i="119"/>
  <c r="J13" i="119"/>
  <c r="I13" i="119"/>
  <c r="H13" i="119"/>
  <c r="G13" i="119"/>
  <c r="F13" i="119"/>
  <c r="G6" i="119" s="1"/>
  <c r="E13" i="119"/>
  <c r="D13" i="119"/>
  <c r="N6" i="119"/>
  <c r="M6" i="119"/>
  <c r="L6" i="119"/>
  <c r="F3" i="119"/>
  <c r="C3" i="119"/>
  <c r="G7" i="123" l="1"/>
  <c r="Q39" i="124"/>
  <c r="R31" i="124" s="1"/>
  <c r="P39" i="124"/>
  <c r="K14" i="123"/>
  <c r="E7" i="123" s="1"/>
  <c r="F7" i="123"/>
  <c r="G8" i="123"/>
  <c r="F8" i="123"/>
  <c r="Q69" i="122"/>
  <c r="P69" i="122"/>
  <c r="Q13" i="122"/>
  <c r="P13" i="122"/>
  <c r="Q59" i="122"/>
  <c r="P59" i="122"/>
  <c r="Q62" i="122"/>
  <c r="P62" i="122"/>
  <c r="AE61" i="122"/>
  <c r="N61" i="122"/>
  <c r="AF61" i="122"/>
  <c r="AG54" i="122" s="1"/>
  <c r="Q5" i="122"/>
  <c r="P5" i="122"/>
  <c r="AE14" i="122"/>
  <c r="AF14" i="122"/>
  <c r="AG9" i="122" s="1"/>
  <c r="N14" i="122"/>
  <c r="Q32" i="122"/>
  <c r="P32" i="122"/>
  <c r="Q45" i="122"/>
  <c r="P45" i="122"/>
  <c r="N22" i="122"/>
  <c r="AF22" i="122"/>
  <c r="AG15" i="122" s="1"/>
  <c r="AE22" i="122"/>
  <c r="Q41" i="122"/>
  <c r="P41" i="122"/>
  <c r="Q49" i="122"/>
  <c r="P49" i="122"/>
  <c r="AF39" i="122"/>
  <c r="AG31" i="122" s="1"/>
  <c r="AE39" i="122"/>
  <c r="N39" i="122"/>
  <c r="Q17" i="122"/>
  <c r="P17" i="122"/>
  <c r="P31" i="122"/>
  <c r="Q31" i="122"/>
  <c r="Q44" i="122"/>
  <c r="P44" i="122"/>
  <c r="Q40" i="122"/>
  <c r="P40" i="122"/>
  <c r="Q26" i="122"/>
  <c r="P26" i="122"/>
  <c r="Q18" i="122"/>
  <c r="P18" i="122"/>
  <c r="Q20" i="122"/>
  <c r="P20" i="122"/>
  <c r="Q29" i="122"/>
  <c r="P29" i="122"/>
  <c r="P60" i="122"/>
  <c r="Q60" i="122"/>
  <c r="Q6" i="122"/>
  <c r="P6" i="122"/>
  <c r="P46" i="122"/>
  <c r="Q46" i="122"/>
  <c r="Q25" i="122"/>
  <c r="P25" i="122"/>
  <c r="Q33" i="122"/>
  <c r="P33" i="122"/>
  <c r="P15" i="122"/>
  <c r="Q15" i="122"/>
  <c r="Q52" i="122"/>
  <c r="P52" i="122"/>
  <c r="Q9" i="122"/>
  <c r="P9" i="122"/>
  <c r="Q65" i="122"/>
  <c r="P65" i="122"/>
  <c r="Q34" i="122"/>
  <c r="P34" i="122"/>
  <c r="Q37" i="122"/>
  <c r="P37" i="122"/>
  <c r="Q63" i="122"/>
  <c r="P63" i="122"/>
  <c r="Q16" i="122"/>
  <c r="P16" i="122"/>
  <c r="N66" i="122"/>
  <c r="AF66" i="122"/>
  <c r="AG62" i="122" s="1"/>
  <c r="AE66" i="122"/>
  <c r="Q56" i="122"/>
  <c r="P56" i="122"/>
  <c r="Q54" i="122"/>
  <c r="P54" i="122"/>
  <c r="Q27" i="122"/>
  <c r="P27" i="122"/>
  <c r="N8" i="122"/>
  <c r="AF8" i="122"/>
  <c r="AG5" i="122" s="1"/>
  <c r="AE8" i="122"/>
  <c r="Q11" i="122"/>
  <c r="P11" i="122"/>
  <c r="Q28" i="122"/>
  <c r="P28" i="122"/>
  <c r="Q23" i="122"/>
  <c r="P23" i="122"/>
  <c r="AF53" i="122"/>
  <c r="AG49" i="122" s="1"/>
  <c r="AE53" i="122"/>
  <c r="N53" i="122"/>
  <c r="Q70" i="122"/>
  <c r="P70" i="122"/>
  <c r="F2" i="122"/>
  <c r="I3" i="121"/>
  <c r="AF48" i="122"/>
  <c r="AG40" i="122" s="1"/>
  <c r="AE48" i="122"/>
  <c r="N48" i="122"/>
  <c r="Q73" i="122"/>
  <c r="P73" i="122"/>
  <c r="P19" i="122"/>
  <c r="Q19" i="122"/>
  <c r="AF74" i="122"/>
  <c r="AG67" i="122" s="1"/>
  <c r="AE74" i="122"/>
  <c r="N74" i="122"/>
  <c r="AE30" i="122"/>
  <c r="AF30" i="122"/>
  <c r="AG23" i="122" s="1"/>
  <c r="N30" i="122"/>
  <c r="Q36" i="120"/>
  <c r="P36" i="120"/>
  <c r="Q40" i="120"/>
  <c r="R35" i="120" s="1"/>
  <c r="P40" i="120"/>
  <c r="L14" i="119"/>
  <c r="L15" i="119" s="1"/>
  <c r="Q17" i="120"/>
  <c r="P17" i="120"/>
  <c r="Q33" i="120"/>
  <c r="P33" i="120"/>
  <c r="Q50" i="120"/>
  <c r="P50" i="120"/>
  <c r="Q55" i="120"/>
  <c r="P55" i="120"/>
  <c r="Q29" i="120"/>
  <c r="P29" i="120"/>
  <c r="P10" i="120"/>
  <c r="Q10" i="120"/>
  <c r="Q26" i="120"/>
  <c r="P26" i="120"/>
  <c r="Q54" i="120"/>
  <c r="P54" i="120"/>
  <c r="Q13" i="120"/>
  <c r="P13" i="120"/>
  <c r="Q16" i="120"/>
  <c r="P16" i="120"/>
  <c r="Q32" i="120"/>
  <c r="P32" i="120"/>
  <c r="AF8" i="120"/>
  <c r="AG5" i="120" s="1"/>
  <c r="AE8" i="120"/>
  <c r="N8" i="120"/>
  <c r="Q18" i="120"/>
  <c r="Q37" i="120"/>
  <c r="AE40" i="120"/>
  <c r="Q56" i="120"/>
  <c r="Q11" i="120"/>
  <c r="Q14" i="120"/>
  <c r="Q27" i="120"/>
  <c r="Q30" i="120"/>
  <c r="Q51" i="120"/>
  <c r="P5" i="120"/>
  <c r="P6" i="120"/>
  <c r="AE16" i="120"/>
  <c r="AF17" i="120"/>
  <c r="M20" i="120"/>
  <c r="P25" i="120"/>
  <c r="AE32" i="120"/>
  <c r="AF33" i="120"/>
  <c r="AF36" i="120"/>
  <c r="P45" i="120"/>
  <c r="P46" i="120"/>
  <c r="P49" i="120"/>
  <c r="AF54" i="120"/>
  <c r="AF55" i="120"/>
  <c r="M58" i="120"/>
  <c r="P64" i="120"/>
  <c r="I3" i="119"/>
  <c r="M14" i="119"/>
  <c r="M15" i="119" s="1"/>
  <c r="AF16" i="120"/>
  <c r="P24" i="120"/>
  <c r="AF32" i="120"/>
  <c r="P48" i="120"/>
  <c r="M34" i="120"/>
  <c r="E6" i="119"/>
  <c r="F6" i="119"/>
  <c r="AE7" i="120"/>
  <c r="AE10" i="120"/>
  <c r="AF13" i="120"/>
  <c r="AE26" i="120"/>
  <c r="AF29" i="120"/>
  <c r="AE50" i="120"/>
  <c r="AF7" i="120"/>
  <c r="AF10" i="120"/>
  <c r="AF26" i="120"/>
  <c r="AF50" i="120"/>
  <c r="M53" i="120"/>
  <c r="M12" i="120"/>
  <c r="M28" i="120"/>
  <c r="N7" i="120"/>
  <c r="AD65" i="118"/>
  <c r="Z65" i="118"/>
  <c r="Y65" i="118"/>
  <c r="O65" i="118"/>
  <c r="K65" i="118"/>
  <c r="AF64" i="118"/>
  <c r="AE64" i="118"/>
  <c r="V64" i="118"/>
  <c r="U64" i="118"/>
  <c r="Q64" i="118"/>
  <c r="P64" i="118"/>
  <c r="O64" i="118"/>
  <c r="N64" i="118"/>
  <c r="M64" i="118"/>
  <c r="K64" i="118"/>
  <c r="G64" i="118"/>
  <c r="AF63" i="118"/>
  <c r="V63" i="118"/>
  <c r="U63" i="118"/>
  <c r="O63" i="118"/>
  <c r="M63" i="118"/>
  <c r="AE63" i="118" s="1"/>
  <c r="K63" i="118"/>
  <c r="G63" i="118"/>
  <c r="AF62" i="118"/>
  <c r="AE62" i="118"/>
  <c r="V62" i="118"/>
  <c r="U62" i="118"/>
  <c r="O62" i="118"/>
  <c r="M62" i="118"/>
  <c r="M65" i="118" s="1"/>
  <c r="K62" i="118"/>
  <c r="G62" i="118"/>
  <c r="AF61" i="118"/>
  <c r="AE61" i="118"/>
  <c r="V61" i="118"/>
  <c r="U61" i="118"/>
  <c r="O61" i="118"/>
  <c r="N61" i="118"/>
  <c r="Q61" i="118" s="1"/>
  <c r="M61" i="118"/>
  <c r="K61" i="118"/>
  <c r="G61" i="118"/>
  <c r="AF60" i="118"/>
  <c r="AE60" i="118"/>
  <c r="X60" i="118"/>
  <c r="W60" i="118"/>
  <c r="V60" i="118"/>
  <c r="Q60" i="118"/>
  <c r="O60" i="118"/>
  <c r="N60" i="118"/>
  <c r="P60" i="118" s="1"/>
  <c r="M60" i="118"/>
  <c r="K60" i="118"/>
  <c r="G60" i="118"/>
  <c r="AD59" i="118"/>
  <c r="Z59" i="118"/>
  <c r="Y59" i="118"/>
  <c r="O59" i="118"/>
  <c r="K59" i="118"/>
  <c r="AF58" i="118"/>
  <c r="AE58" i="118"/>
  <c r="V58" i="118"/>
  <c r="U58" i="118"/>
  <c r="O58" i="118"/>
  <c r="N58" i="118"/>
  <c r="Q58" i="118" s="1"/>
  <c r="M58" i="118"/>
  <c r="K58" i="118"/>
  <c r="G58" i="118"/>
  <c r="AF57" i="118"/>
  <c r="AE57" i="118"/>
  <c r="V57" i="118"/>
  <c r="U57" i="118"/>
  <c r="Q57" i="118"/>
  <c r="P57" i="118"/>
  <c r="O57" i="118"/>
  <c r="N57" i="118"/>
  <c r="M57" i="118"/>
  <c r="K57" i="118"/>
  <c r="G57" i="118"/>
  <c r="AF56" i="118"/>
  <c r="V56" i="118"/>
  <c r="U56" i="118"/>
  <c r="O56" i="118"/>
  <c r="M56" i="118"/>
  <c r="AE56" i="118" s="1"/>
  <c r="K56" i="118"/>
  <c r="G56" i="118"/>
  <c r="AF55" i="118"/>
  <c r="AE55" i="118"/>
  <c r="V55" i="118"/>
  <c r="U55" i="118"/>
  <c r="O55" i="118"/>
  <c r="M55" i="118"/>
  <c r="M59" i="118" s="1"/>
  <c r="K55" i="118"/>
  <c r="G55" i="118"/>
  <c r="AF54" i="118"/>
  <c r="AE54" i="118"/>
  <c r="V54" i="118"/>
  <c r="O54" i="118"/>
  <c r="N54" i="118"/>
  <c r="P54" i="118" s="1"/>
  <c r="M54" i="118"/>
  <c r="K54" i="118"/>
  <c r="G54" i="118"/>
  <c r="AD53" i="118"/>
  <c r="Z53" i="118"/>
  <c r="Y53" i="118"/>
  <c r="O53" i="118"/>
  <c r="K53" i="118"/>
  <c r="AF52" i="118"/>
  <c r="AE52" i="118"/>
  <c r="V52" i="118"/>
  <c r="U52" i="118"/>
  <c r="O52" i="118"/>
  <c r="N52" i="118"/>
  <c r="Q52" i="118" s="1"/>
  <c r="M52" i="118"/>
  <c r="K52" i="118"/>
  <c r="G52" i="118"/>
  <c r="AF51" i="118"/>
  <c r="AE51" i="118"/>
  <c r="V51" i="118"/>
  <c r="U51" i="118"/>
  <c r="Q51" i="118"/>
  <c r="P51" i="118"/>
  <c r="O51" i="118"/>
  <c r="N51" i="118"/>
  <c r="M51" i="118"/>
  <c r="K51" i="118"/>
  <c r="G51" i="118"/>
  <c r="AF50" i="118"/>
  <c r="AE50" i="118"/>
  <c r="V50" i="118"/>
  <c r="U50" i="118"/>
  <c r="O50" i="118"/>
  <c r="N50" i="118"/>
  <c r="P50" i="118" s="1"/>
  <c r="M50" i="118"/>
  <c r="K50" i="118"/>
  <c r="G50" i="118"/>
  <c r="AF49" i="118"/>
  <c r="AE49" i="118"/>
  <c r="V49" i="118"/>
  <c r="U49" i="118"/>
  <c r="O49" i="118"/>
  <c r="N49" i="118"/>
  <c r="Q49" i="118" s="1"/>
  <c r="M49" i="118"/>
  <c r="K49" i="118"/>
  <c r="G49" i="118"/>
  <c r="AF48" i="118"/>
  <c r="AE48" i="118"/>
  <c r="V48" i="118"/>
  <c r="U48" i="118"/>
  <c r="Q48" i="118"/>
  <c r="P48" i="118"/>
  <c r="O48" i="118"/>
  <c r="N48" i="118"/>
  <c r="M48" i="118"/>
  <c r="K48" i="118"/>
  <c r="G48" i="118"/>
  <c r="AF47" i="118"/>
  <c r="V47" i="118"/>
  <c r="U47" i="118"/>
  <c r="O47" i="118"/>
  <c r="M47" i="118"/>
  <c r="AE47" i="118" s="1"/>
  <c r="K47" i="118"/>
  <c r="G47" i="118"/>
  <c r="AF46" i="118"/>
  <c r="AE46" i="118"/>
  <c r="X46" i="118"/>
  <c r="W46" i="118"/>
  <c r="V46" i="118"/>
  <c r="O46" i="118"/>
  <c r="M46" i="118"/>
  <c r="N46" i="118" s="1"/>
  <c r="K46" i="118"/>
  <c r="G46" i="118"/>
  <c r="AD45" i="118"/>
  <c r="Z45" i="118"/>
  <c r="Y45" i="118"/>
  <c r="O45" i="118"/>
  <c r="M45" i="118"/>
  <c r="AF45" i="118" s="1"/>
  <c r="AG41" i="118" s="1"/>
  <c r="K45" i="118"/>
  <c r="AF44" i="118"/>
  <c r="AE44" i="118"/>
  <c r="V44" i="118"/>
  <c r="U44" i="118"/>
  <c r="Q44" i="118"/>
  <c r="P44" i="118"/>
  <c r="O44" i="118"/>
  <c r="N44" i="118"/>
  <c r="M44" i="118"/>
  <c r="K44" i="118"/>
  <c r="G44" i="118"/>
  <c r="AF43" i="118"/>
  <c r="AE43" i="118"/>
  <c r="V43" i="118"/>
  <c r="U43" i="118"/>
  <c r="O43" i="118"/>
  <c r="N43" i="118"/>
  <c r="P43" i="118" s="1"/>
  <c r="M43" i="118"/>
  <c r="K43" i="118"/>
  <c r="G43" i="118"/>
  <c r="AF42" i="118"/>
  <c r="AE42" i="118"/>
  <c r="V42" i="118"/>
  <c r="U42" i="118"/>
  <c r="O42" i="118"/>
  <c r="N42" i="118"/>
  <c r="Q42" i="118" s="1"/>
  <c r="M42" i="118"/>
  <c r="K42" i="118"/>
  <c r="G42" i="118"/>
  <c r="AF41" i="118"/>
  <c r="AE41" i="118"/>
  <c r="X41" i="118"/>
  <c r="W41" i="118"/>
  <c r="V41" i="118"/>
  <c r="O41" i="118"/>
  <c r="N41" i="118"/>
  <c r="Q41" i="118" s="1"/>
  <c r="M41" i="118"/>
  <c r="K41" i="118"/>
  <c r="G41" i="118"/>
  <c r="AD40" i="118"/>
  <c r="Z40" i="118"/>
  <c r="Y40" i="118"/>
  <c r="O40" i="118"/>
  <c r="M40" i="118"/>
  <c r="N40" i="118" s="1"/>
  <c r="K40" i="118"/>
  <c r="AF39" i="118"/>
  <c r="AE39" i="118"/>
  <c r="V39" i="118"/>
  <c r="U39" i="118"/>
  <c r="O39" i="118"/>
  <c r="M39" i="118"/>
  <c r="N39" i="118" s="1"/>
  <c r="K39" i="118"/>
  <c r="G39" i="118"/>
  <c r="AF38" i="118"/>
  <c r="AE38" i="118"/>
  <c r="V38" i="118"/>
  <c r="U38" i="118"/>
  <c r="O38" i="118"/>
  <c r="N38" i="118"/>
  <c r="Q38" i="118" s="1"/>
  <c r="M38" i="118"/>
  <c r="K38" i="118"/>
  <c r="G38" i="118"/>
  <c r="AF37" i="118"/>
  <c r="AE37" i="118"/>
  <c r="V37" i="118"/>
  <c r="U37" i="118"/>
  <c r="Q37" i="118"/>
  <c r="P37" i="118"/>
  <c r="O37" i="118"/>
  <c r="N37" i="118"/>
  <c r="M37" i="118"/>
  <c r="K37" i="118"/>
  <c r="G37" i="118"/>
  <c r="AF36" i="118"/>
  <c r="AE36" i="118"/>
  <c r="V36" i="118"/>
  <c r="U36" i="118"/>
  <c r="O36" i="118"/>
  <c r="N36" i="118"/>
  <c r="Q36" i="118" s="1"/>
  <c r="M36" i="118"/>
  <c r="K36" i="118"/>
  <c r="G36" i="118"/>
  <c r="AF35" i="118"/>
  <c r="AE35" i="118"/>
  <c r="X35" i="118"/>
  <c r="W35" i="118"/>
  <c r="V35" i="118"/>
  <c r="O35" i="118"/>
  <c r="N35" i="118"/>
  <c r="Q35" i="118" s="1"/>
  <c r="M35" i="118"/>
  <c r="K35" i="118"/>
  <c r="G35" i="118"/>
  <c r="AD34" i="118"/>
  <c r="Z34" i="118"/>
  <c r="Y34" i="118"/>
  <c r="O34" i="118"/>
  <c r="K34" i="118"/>
  <c r="AF33" i="118"/>
  <c r="AE33" i="118"/>
  <c r="V33" i="118"/>
  <c r="U33" i="118"/>
  <c r="O33" i="118"/>
  <c r="N33" i="118"/>
  <c r="P33" i="118" s="1"/>
  <c r="M33" i="118"/>
  <c r="K33" i="118"/>
  <c r="G33" i="118"/>
  <c r="AF32" i="118"/>
  <c r="AE32" i="118"/>
  <c r="V32" i="118"/>
  <c r="U32" i="118"/>
  <c r="O32" i="118"/>
  <c r="M32" i="118"/>
  <c r="N32" i="118" s="1"/>
  <c r="K32" i="118"/>
  <c r="G32" i="118"/>
  <c r="AF31" i="118"/>
  <c r="AE31" i="118"/>
  <c r="V31" i="118"/>
  <c r="U31" i="118"/>
  <c r="O31" i="118"/>
  <c r="N31" i="118"/>
  <c r="Q31" i="118" s="1"/>
  <c r="M31" i="118"/>
  <c r="K31" i="118"/>
  <c r="G31" i="118"/>
  <c r="AF30" i="118"/>
  <c r="AE30" i="118"/>
  <c r="V30" i="118"/>
  <c r="U30" i="118"/>
  <c r="Q30" i="118"/>
  <c r="P30" i="118"/>
  <c r="O30" i="118"/>
  <c r="N30" i="118"/>
  <c r="M30" i="118"/>
  <c r="K30" i="118"/>
  <c r="G30" i="118"/>
  <c r="AF29" i="118"/>
  <c r="AE29" i="118"/>
  <c r="X29" i="118"/>
  <c r="W29" i="118"/>
  <c r="V29" i="118"/>
  <c r="O29" i="118"/>
  <c r="M29" i="118"/>
  <c r="M34" i="118" s="1"/>
  <c r="K29" i="118"/>
  <c r="G29" i="118"/>
  <c r="AD28" i="118"/>
  <c r="Z28" i="118"/>
  <c r="Y28" i="118"/>
  <c r="O28" i="118"/>
  <c r="M28" i="118"/>
  <c r="AF28" i="118" s="1"/>
  <c r="AG21" i="118" s="1"/>
  <c r="K28" i="118"/>
  <c r="AF27" i="118"/>
  <c r="AE27" i="118"/>
  <c r="V27" i="118"/>
  <c r="U27" i="118"/>
  <c r="O27" i="118"/>
  <c r="N27" i="118"/>
  <c r="Q27" i="118" s="1"/>
  <c r="M27" i="118"/>
  <c r="K27" i="118"/>
  <c r="G27" i="118"/>
  <c r="AF26" i="118"/>
  <c r="AE26" i="118"/>
  <c r="V26" i="118"/>
  <c r="U26" i="118"/>
  <c r="O26" i="118"/>
  <c r="N26" i="118"/>
  <c r="P26" i="118" s="1"/>
  <c r="M26" i="118"/>
  <c r="K26" i="118"/>
  <c r="G26" i="118"/>
  <c r="AF25" i="118"/>
  <c r="AE25" i="118"/>
  <c r="V25" i="118"/>
  <c r="U25" i="118"/>
  <c r="O25" i="118"/>
  <c r="M25" i="118"/>
  <c r="N25" i="118" s="1"/>
  <c r="K25" i="118"/>
  <c r="G25" i="118"/>
  <c r="AF24" i="118"/>
  <c r="AE24" i="118"/>
  <c r="V24" i="118"/>
  <c r="U24" i="118"/>
  <c r="O24" i="118"/>
  <c r="N24" i="118"/>
  <c r="Q24" i="118" s="1"/>
  <c r="M24" i="118"/>
  <c r="K24" i="118"/>
  <c r="G24" i="118"/>
  <c r="AF23" i="118"/>
  <c r="AE23" i="118"/>
  <c r="V23" i="118"/>
  <c r="U23" i="118"/>
  <c r="Q23" i="118"/>
  <c r="P23" i="118"/>
  <c r="O23" i="118"/>
  <c r="N23" i="118"/>
  <c r="M23" i="118"/>
  <c r="K23" i="118"/>
  <c r="G23" i="118"/>
  <c r="AF22" i="118"/>
  <c r="AE22" i="118"/>
  <c r="V22" i="118"/>
  <c r="U22" i="118"/>
  <c r="O22" i="118"/>
  <c r="N22" i="118"/>
  <c r="P22" i="118" s="1"/>
  <c r="M22" i="118"/>
  <c r="K22" i="118"/>
  <c r="G22" i="118"/>
  <c r="AF21" i="118"/>
  <c r="AE21" i="118"/>
  <c r="V21" i="118"/>
  <c r="O21" i="118"/>
  <c r="N21" i="118"/>
  <c r="Q21" i="118" s="1"/>
  <c r="M21" i="118"/>
  <c r="K21" i="118"/>
  <c r="G21" i="118"/>
  <c r="AF20" i="118"/>
  <c r="AG13" i="118" s="1"/>
  <c r="AE20" i="118"/>
  <c r="AD20" i="118"/>
  <c r="Z20" i="118"/>
  <c r="Y20" i="118"/>
  <c r="O20" i="118"/>
  <c r="M20" i="118"/>
  <c r="N20" i="118" s="1"/>
  <c r="K20" i="118"/>
  <c r="AF19" i="118"/>
  <c r="AE19" i="118"/>
  <c r="V19" i="118"/>
  <c r="U19" i="118"/>
  <c r="O19" i="118"/>
  <c r="N19" i="118"/>
  <c r="P19" i="118" s="1"/>
  <c r="M19" i="118"/>
  <c r="K19" i="118"/>
  <c r="G19" i="118"/>
  <c r="AF18" i="118"/>
  <c r="AE18" i="118"/>
  <c r="V18" i="118"/>
  <c r="U18" i="118"/>
  <c r="O18" i="118"/>
  <c r="N18" i="118"/>
  <c r="Q18" i="118" s="1"/>
  <c r="M18" i="118"/>
  <c r="K18" i="118"/>
  <c r="G18" i="118"/>
  <c r="AF17" i="118"/>
  <c r="AE17" i="118"/>
  <c r="V17" i="118"/>
  <c r="U17" i="118"/>
  <c r="O17" i="118"/>
  <c r="N17" i="118"/>
  <c r="P17" i="118" s="1"/>
  <c r="M17" i="118"/>
  <c r="K17" i="118"/>
  <c r="G17" i="118"/>
  <c r="AF16" i="118"/>
  <c r="AE16" i="118"/>
  <c r="V16" i="118"/>
  <c r="U16" i="118"/>
  <c r="O16" i="118"/>
  <c r="M16" i="118"/>
  <c r="N16" i="118" s="1"/>
  <c r="K16" i="118"/>
  <c r="G16" i="118"/>
  <c r="AF15" i="118"/>
  <c r="AE15" i="118"/>
  <c r="V15" i="118"/>
  <c r="U15" i="118"/>
  <c r="O15" i="118"/>
  <c r="N15" i="118"/>
  <c r="Q15" i="118" s="1"/>
  <c r="M15" i="118"/>
  <c r="K15" i="118"/>
  <c r="G15" i="118"/>
  <c r="AF14" i="118"/>
  <c r="AE14" i="118"/>
  <c r="V14" i="118"/>
  <c r="U14" i="118"/>
  <c r="Q14" i="118"/>
  <c r="O14" i="118"/>
  <c r="N14" i="118"/>
  <c r="P14" i="118" s="1"/>
  <c r="M14" i="118"/>
  <c r="K14" i="118"/>
  <c r="G14" i="118"/>
  <c r="AF13" i="118"/>
  <c r="AE13" i="118"/>
  <c r="X13" i="118"/>
  <c r="W13" i="118"/>
  <c r="V13" i="118"/>
  <c r="O13" i="118"/>
  <c r="M13" i="118"/>
  <c r="N13" i="118" s="1"/>
  <c r="K13" i="118"/>
  <c r="G13" i="118"/>
  <c r="AD12" i="118"/>
  <c r="Z12" i="118"/>
  <c r="Y12" i="118"/>
  <c r="O12" i="118"/>
  <c r="M12" i="118"/>
  <c r="AF12" i="118" s="1"/>
  <c r="AG9" i="118" s="1"/>
  <c r="K12" i="118"/>
  <c r="AF11" i="118"/>
  <c r="AE11" i="118"/>
  <c r="V11" i="118"/>
  <c r="U11" i="118"/>
  <c r="O11" i="118"/>
  <c r="N11" i="118"/>
  <c r="Q11" i="118" s="1"/>
  <c r="M11" i="118"/>
  <c r="K11" i="118"/>
  <c r="G11" i="118"/>
  <c r="AF10" i="118"/>
  <c r="AE10" i="118"/>
  <c r="V10" i="118"/>
  <c r="U10" i="118"/>
  <c r="O10" i="118"/>
  <c r="N10" i="118"/>
  <c r="P10" i="118" s="1"/>
  <c r="M10" i="118"/>
  <c r="K10" i="118"/>
  <c r="G10" i="118"/>
  <c r="AF9" i="118"/>
  <c r="AE9" i="118"/>
  <c r="X9" i="118"/>
  <c r="W9" i="118"/>
  <c r="V9" i="118"/>
  <c r="O9" i="118"/>
  <c r="N9" i="118"/>
  <c r="Q9" i="118" s="1"/>
  <c r="M9" i="118"/>
  <c r="K9" i="118"/>
  <c r="G9" i="118"/>
  <c r="AD8" i="118"/>
  <c r="Z8" i="118"/>
  <c r="Y8" i="118"/>
  <c r="O8" i="118"/>
  <c r="K8" i="118"/>
  <c r="AF7" i="118"/>
  <c r="AE7" i="118"/>
  <c r="V7" i="118"/>
  <c r="U7" i="118"/>
  <c r="O7" i="118"/>
  <c r="N7" i="118"/>
  <c r="Q7" i="118" s="1"/>
  <c r="M7" i="118"/>
  <c r="K7" i="118"/>
  <c r="G7" i="118"/>
  <c r="AF6" i="118"/>
  <c r="AE6" i="118"/>
  <c r="V6" i="118"/>
  <c r="U6" i="118"/>
  <c r="O6" i="118"/>
  <c r="M6" i="118"/>
  <c r="M8" i="118" s="1"/>
  <c r="K6" i="118"/>
  <c r="G6" i="118"/>
  <c r="AF5" i="118"/>
  <c r="AE5" i="118"/>
  <c r="V5" i="118"/>
  <c r="O5" i="118"/>
  <c r="N5" i="118"/>
  <c r="Q5" i="118" s="1"/>
  <c r="M5" i="118"/>
  <c r="K5" i="118"/>
  <c r="G5" i="118"/>
  <c r="AD2" i="118"/>
  <c r="N6" i="117" s="1"/>
  <c r="Z2" i="118"/>
  <c r="L6" i="117" s="1"/>
  <c r="Y2" i="118"/>
  <c r="H2" i="118"/>
  <c r="H1" i="118"/>
  <c r="F1" i="118"/>
  <c r="F2" i="118" s="1"/>
  <c r="D1" i="118"/>
  <c r="M22" i="117"/>
  <c r="L22" i="117"/>
  <c r="K22" i="117"/>
  <c r="J22" i="117"/>
  <c r="I22" i="117"/>
  <c r="H22" i="117"/>
  <c r="G22" i="117"/>
  <c r="F22" i="117"/>
  <c r="E22" i="117"/>
  <c r="D22" i="117"/>
  <c r="M21" i="117"/>
  <c r="L21" i="117"/>
  <c r="K21" i="117"/>
  <c r="J21" i="117"/>
  <c r="I21" i="117"/>
  <c r="H21" i="117"/>
  <c r="G21" i="117"/>
  <c r="F21" i="117"/>
  <c r="E21" i="117"/>
  <c r="D21" i="117"/>
  <c r="M20" i="117"/>
  <c r="L20" i="117"/>
  <c r="K20" i="117"/>
  <c r="J20" i="117"/>
  <c r="I20" i="117"/>
  <c r="H20" i="117"/>
  <c r="G20" i="117"/>
  <c r="F20" i="117"/>
  <c r="E20" i="117"/>
  <c r="D20" i="117"/>
  <c r="M19" i="117"/>
  <c r="L19" i="117"/>
  <c r="K19" i="117"/>
  <c r="J19" i="117"/>
  <c r="I19" i="117"/>
  <c r="H19" i="117"/>
  <c r="G19" i="117"/>
  <c r="F19" i="117"/>
  <c r="E19" i="117"/>
  <c r="D19" i="117"/>
  <c r="M18" i="117"/>
  <c r="L18" i="117"/>
  <c r="K18" i="117"/>
  <c r="J18" i="117"/>
  <c r="I18" i="117"/>
  <c r="H18" i="117"/>
  <c r="G18" i="117"/>
  <c r="F18" i="117"/>
  <c r="E18" i="117"/>
  <c r="D18" i="117"/>
  <c r="M17" i="117"/>
  <c r="L17" i="117"/>
  <c r="K17" i="117"/>
  <c r="J17" i="117"/>
  <c r="I17" i="117"/>
  <c r="H17" i="117"/>
  <c r="G17" i="117"/>
  <c r="F17" i="117"/>
  <c r="E17" i="117"/>
  <c r="D17" i="117"/>
  <c r="M16" i="117"/>
  <c r="L16" i="117"/>
  <c r="K16" i="117"/>
  <c r="J16" i="117"/>
  <c r="I16" i="117"/>
  <c r="H16" i="117"/>
  <c r="G16" i="117"/>
  <c r="F16" i="117"/>
  <c r="E16" i="117"/>
  <c r="D16" i="117"/>
  <c r="M13" i="117"/>
  <c r="L13" i="117"/>
  <c r="K13" i="117"/>
  <c r="J13" i="117"/>
  <c r="F6" i="117" s="1"/>
  <c r="I13" i="117"/>
  <c r="H13" i="117"/>
  <c r="G13" i="117"/>
  <c r="F13" i="117"/>
  <c r="E13" i="117"/>
  <c r="D13" i="117"/>
  <c r="M6" i="117"/>
  <c r="K6" i="117"/>
  <c r="I6" i="117"/>
  <c r="G6" i="117"/>
  <c r="I3" i="117"/>
  <c r="F3" i="117"/>
  <c r="C3" i="117"/>
  <c r="K15" i="123" l="1"/>
  <c r="I7" i="123"/>
  <c r="Q48" i="122"/>
  <c r="R40" i="122" s="1"/>
  <c r="P48" i="122"/>
  <c r="L14" i="121"/>
  <c r="L15" i="121" s="1"/>
  <c r="Q53" i="122"/>
  <c r="R49" i="122" s="1"/>
  <c r="P53" i="122"/>
  <c r="H14" i="121"/>
  <c r="H15" i="121" s="1"/>
  <c r="Q66" i="122"/>
  <c r="R62" i="122" s="1"/>
  <c r="P66" i="122"/>
  <c r="J14" i="121"/>
  <c r="J15" i="121" s="1"/>
  <c r="G14" i="121"/>
  <c r="G15" i="121" s="1"/>
  <c r="Q30" i="122"/>
  <c r="R23" i="122" s="1"/>
  <c r="P30" i="122"/>
  <c r="Q39" i="122"/>
  <c r="R31" i="122" s="1"/>
  <c r="P39" i="122"/>
  <c r="K14" i="121"/>
  <c r="Q74" i="122"/>
  <c r="R67" i="122" s="1"/>
  <c r="P74" i="122"/>
  <c r="M14" i="121"/>
  <c r="M15" i="121" s="1"/>
  <c r="Q14" i="122"/>
  <c r="R9" i="122" s="1"/>
  <c r="E14" i="121"/>
  <c r="E15" i="121" s="1"/>
  <c r="P14" i="122"/>
  <c r="I14" i="121"/>
  <c r="I15" i="121" s="1"/>
  <c r="Q61" i="122"/>
  <c r="R54" i="122" s="1"/>
  <c r="P61" i="122"/>
  <c r="D14" i="121"/>
  <c r="P8" i="122"/>
  <c r="Q8" i="122"/>
  <c r="R5" i="122" s="1"/>
  <c r="D2" i="122"/>
  <c r="Q22" i="122"/>
  <c r="R15" i="122" s="1"/>
  <c r="P22" i="122"/>
  <c r="F14" i="121"/>
  <c r="F15" i="121" s="1"/>
  <c r="AF20" i="120"/>
  <c r="AG13" i="120" s="1"/>
  <c r="AE20" i="120"/>
  <c r="N20" i="120"/>
  <c r="P8" i="120"/>
  <c r="D14" i="119"/>
  <c r="Q8" i="120"/>
  <c r="R5" i="120" s="1"/>
  <c r="N12" i="120"/>
  <c r="D2" i="120" s="1"/>
  <c r="AF12" i="120"/>
  <c r="AG9" i="120" s="1"/>
  <c r="AE12" i="120"/>
  <c r="Q7" i="120"/>
  <c r="P7" i="120"/>
  <c r="AF58" i="120"/>
  <c r="AG54" i="120" s="1"/>
  <c r="AE58" i="120"/>
  <c r="N58" i="120"/>
  <c r="N28" i="120"/>
  <c r="AF28" i="120"/>
  <c r="AG21" i="120" s="1"/>
  <c r="AE28" i="120"/>
  <c r="AE34" i="120"/>
  <c r="N34" i="120"/>
  <c r="AF34" i="120"/>
  <c r="AG29" i="120" s="1"/>
  <c r="N53" i="120"/>
  <c r="AF53" i="120"/>
  <c r="AG46" i="120" s="1"/>
  <c r="AE53" i="120"/>
  <c r="Q40" i="118"/>
  <c r="R35" i="118" s="1"/>
  <c r="L14" i="117"/>
  <c r="L15" i="117" s="1"/>
  <c r="P40" i="118"/>
  <c r="Q13" i="118"/>
  <c r="P13" i="118"/>
  <c r="N34" i="118"/>
  <c r="AE34" i="118"/>
  <c r="AF34" i="118"/>
  <c r="AG29" i="118" s="1"/>
  <c r="F14" i="117"/>
  <c r="F15" i="117" s="1"/>
  <c r="Q20" i="118"/>
  <c r="R13" i="118" s="1"/>
  <c r="P20" i="118"/>
  <c r="AF8" i="118"/>
  <c r="AG5" i="118" s="1"/>
  <c r="AE8" i="118"/>
  <c r="N8" i="118"/>
  <c r="AE59" i="118"/>
  <c r="AF59" i="118"/>
  <c r="AG54" i="118" s="1"/>
  <c r="N59" i="118"/>
  <c r="AE65" i="118"/>
  <c r="N65" i="118"/>
  <c r="AF65" i="118"/>
  <c r="AG60" i="118" s="1"/>
  <c r="P16" i="118"/>
  <c r="Q16" i="118"/>
  <c r="P25" i="118"/>
  <c r="Q25" i="118"/>
  <c r="P32" i="118"/>
  <c r="Q32" i="118"/>
  <c r="P46" i="118"/>
  <c r="Q46" i="118"/>
  <c r="P39" i="118"/>
  <c r="Q39" i="118"/>
  <c r="N55" i="118"/>
  <c r="N62" i="118"/>
  <c r="E6" i="117"/>
  <c r="N6" i="118"/>
  <c r="P11" i="118"/>
  <c r="P18" i="118"/>
  <c r="P27" i="118"/>
  <c r="N29" i="118"/>
  <c r="P41" i="118"/>
  <c r="P36" i="118"/>
  <c r="Q43" i="118"/>
  <c r="N45" i="118"/>
  <c r="Q50" i="118"/>
  <c r="P15" i="118"/>
  <c r="P24" i="118"/>
  <c r="P31" i="118"/>
  <c r="P38" i="118"/>
  <c r="P52" i="118"/>
  <c r="Q22" i="118"/>
  <c r="N28" i="118"/>
  <c r="P5" i="118"/>
  <c r="Q10" i="118"/>
  <c r="Q17" i="118"/>
  <c r="Q26" i="118"/>
  <c r="Q33" i="118"/>
  <c r="N47" i="118"/>
  <c r="Q54" i="118"/>
  <c r="N56" i="118"/>
  <c r="P61" i="118"/>
  <c r="Q19" i="118"/>
  <c r="P7" i="118"/>
  <c r="P21" i="118"/>
  <c r="AE40" i="118"/>
  <c r="AF40" i="118"/>
  <c r="AG35" i="118" s="1"/>
  <c r="P42" i="118"/>
  <c r="P49" i="118"/>
  <c r="M53" i="118"/>
  <c r="P58" i="118"/>
  <c r="N12" i="118"/>
  <c r="P35" i="118"/>
  <c r="AE45" i="118"/>
  <c r="P9" i="118"/>
  <c r="AE12" i="118"/>
  <c r="AE28" i="118"/>
  <c r="N63" i="118"/>
  <c r="AD65" i="114"/>
  <c r="Z65" i="114"/>
  <c r="Y65" i="114"/>
  <c r="M18" i="113" s="1"/>
  <c r="O65" i="114"/>
  <c r="K65" i="114"/>
  <c r="V64" i="114"/>
  <c r="U64" i="114"/>
  <c r="Q64" i="114"/>
  <c r="P64" i="114"/>
  <c r="O64" i="114"/>
  <c r="N64" i="114"/>
  <c r="M64" i="114"/>
  <c r="K64" i="114"/>
  <c r="G64" i="114"/>
  <c r="V63" i="114"/>
  <c r="M63" i="114" s="1"/>
  <c r="U63" i="114"/>
  <c r="O63" i="114"/>
  <c r="K63" i="114"/>
  <c r="G63" i="114"/>
  <c r="AF62" i="114"/>
  <c r="AE62" i="114"/>
  <c r="V62" i="114"/>
  <c r="M62" i="114" s="1"/>
  <c r="N62" i="114" s="1"/>
  <c r="U62" i="114"/>
  <c r="Q62" i="114"/>
  <c r="P62" i="114"/>
  <c r="O62" i="114"/>
  <c r="K62" i="114"/>
  <c r="G62" i="114"/>
  <c r="V61" i="114"/>
  <c r="M61" i="114" s="1"/>
  <c r="U61" i="114"/>
  <c r="O61" i="114"/>
  <c r="K61" i="114"/>
  <c r="G61" i="114"/>
  <c r="AF60" i="114"/>
  <c r="AE60" i="114"/>
  <c r="X60" i="114"/>
  <c r="W60" i="114"/>
  <c r="V60" i="114"/>
  <c r="O60" i="114"/>
  <c r="M60" i="114"/>
  <c r="K60" i="114"/>
  <c r="G60" i="114"/>
  <c r="AD59" i="114"/>
  <c r="Z59" i="114"/>
  <c r="Y59" i="114"/>
  <c r="J18" i="113" s="1"/>
  <c r="O59" i="114"/>
  <c r="N59" i="114"/>
  <c r="J14" i="113" s="1"/>
  <c r="M59" i="114"/>
  <c r="K59" i="114"/>
  <c r="V58" i="114"/>
  <c r="U58" i="114"/>
  <c r="O58" i="114"/>
  <c r="N58" i="114"/>
  <c r="M58" i="114"/>
  <c r="AF58" i="114" s="1"/>
  <c r="K58" i="114"/>
  <c r="G58" i="114"/>
  <c r="V57" i="114"/>
  <c r="U57" i="114"/>
  <c r="Q57" i="114"/>
  <c r="P57" i="114"/>
  <c r="O57" i="114"/>
  <c r="N57" i="114"/>
  <c r="M57" i="114"/>
  <c r="K57" i="114"/>
  <c r="G57" i="114"/>
  <c r="V56" i="114"/>
  <c r="M56" i="114" s="1"/>
  <c r="U56" i="114"/>
  <c r="O56" i="114"/>
  <c r="K56" i="114"/>
  <c r="G56" i="114"/>
  <c r="AF55" i="114"/>
  <c r="AE55" i="114"/>
  <c r="V55" i="114"/>
  <c r="M55" i="114" s="1"/>
  <c r="N55" i="114" s="1"/>
  <c r="U55" i="114"/>
  <c r="Q55" i="114"/>
  <c r="P55" i="114"/>
  <c r="O55" i="114"/>
  <c r="K55" i="114"/>
  <c r="G55" i="114"/>
  <c r="AE54" i="114"/>
  <c r="V54" i="114"/>
  <c r="O54" i="114"/>
  <c r="M54" i="114"/>
  <c r="K54" i="114"/>
  <c r="G54" i="114"/>
  <c r="AD53" i="114"/>
  <c r="Z53" i="114"/>
  <c r="Y53" i="114"/>
  <c r="O53" i="114"/>
  <c r="K53" i="114"/>
  <c r="AF52" i="114"/>
  <c r="V52" i="114"/>
  <c r="U52" i="114"/>
  <c r="O52" i="114"/>
  <c r="N52" i="114"/>
  <c r="M52" i="114"/>
  <c r="AE52" i="114" s="1"/>
  <c r="K52" i="114"/>
  <c r="G52" i="114"/>
  <c r="AF51" i="114"/>
  <c r="AE51" i="114"/>
  <c r="V51" i="114"/>
  <c r="U51" i="114"/>
  <c r="O51" i="114"/>
  <c r="M51" i="114"/>
  <c r="N51" i="114" s="1"/>
  <c r="K51" i="114"/>
  <c r="G51" i="114"/>
  <c r="V50" i="114"/>
  <c r="U50" i="114"/>
  <c r="Q50" i="114"/>
  <c r="P50" i="114"/>
  <c r="O50" i="114"/>
  <c r="N50" i="114"/>
  <c r="M50" i="114"/>
  <c r="K50" i="114"/>
  <c r="G50" i="114"/>
  <c r="V49" i="114"/>
  <c r="U49" i="114"/>
  <c r="O49" i="114"/>
  <c r="N49" i="114"/>
  <c r="M49" i="114"/>
  <c r="AF49" i="114" s="1"/>
  <c r="K49" i="114"/>
  <c r="G49" i="114"/>
  <c r="V48" i="114"/>
  <c r="U48" i="114"/>
  <c r="O48" i="114"/>
  <c r="N48" i="114"/>
  <c r="Q48" i="114" s="1"/>
  <c r="M48" i="114"/>
  <c r="K48" i="114"/>
  <c r="G48" i="114"/>
  <c r="V47" i="114"/>
  <c r="M47" i="114" s="1"/>
  <c r="U47" i="114"/>
  <c r="O47" i="114"/>
  <c r="K47" i="114"/>
  <c r="G47" i="114"/>
  <c r="AF46" i="114"/>
  <c r="AE46" i="114"/>
  <c r="X46" i="114"/>
  <c r="W46" i="114"/>
  <c r="V46" i="114"/>
  <c r="M46" i="114" s="1"/>
  <c r="O46" i="114"/>
  <c r="K46" i="114"/>
  <c r="G46" i="114"/>
  <c r="AF45" i="114"/>
  <c r="AG41" i="114" s="1"/>
  <c r="AD45" i="114"/>
  <c r="Z45" i="114"/>
  <c r="Y45" i="114"/>
  <c r="O45" i="114"/>
  <c r="M45" i="114"/>
  <c r="AE45" i="114" s="1"/>
  <c r="K45" i="114"/>
  <c r="AF44" i="114"/>
  <c r="AE44" i="114"/>
  <c r="V44" i="114"/>
  <c r="U44" i="114"/>
  <c r="O44" i="114"/>
  <c r="M44" i="114"/>
  <c r="N44" i="114" s="1"/>
  <c r="K44" i="114"/>
  <c r="G44" i="114"/>
  <c r="V43" i="114"/>
  <c r="U43" i="114"/>
  <c r="Q43" i="114"/>
  <c r="P43" i="114"/>
  <c r="O43" i="114"/>
  <c r="N43" i="114"/>
  <c r="M43" i="114"/>
  <c r="K43" i="114"/>
  <c r="G43" i="114"/>
  <c r="V42" i="114"/>
  <c r="U42" i="114"/>
  <c r="O42" i="114"/>
  <c r="N42" i="114"/>
  <c r="M42" i="114"/>
  <c r="AF42" i="114" s="1"/>
  <c r="K42" i="114"/>
  <c r="G42" i="114"/>
  <c r="AE41" i="114"/>
  <c r="X41" i="114"/>
  <c r="W41" i="114"/>
  <c r="V41" i="114"/>
  <c r="M41" i="114" s="1"/>
  <c r="O41" i="114"/>
  <c r="K41" i="114"/>
  <c r="G41" i="114"/>
  <c r="AD40" i="114"/>
  <c r="Z40" i="114"/>
  <c r="Y40" i="114"/>
  <c r="O40" i="114"/>
  <c r="M40" i="114"/>
  <c r="AF40" i="114" s="1"/>
  <c r="AG35" i="114" s="1"/>
  <c r="K40" i="114"/>
  <c r="AF39" i="114"/>
  <c r="AE39" i="114"/>
  <c r="V39" i="114"/>
  <c r="M39" i="114" s="1"/>
  <c r="N39" i="114" s="1"/>
  <c r="U39" i="114"/>
  <c r="O39" i="114"/>
  <c r="K39" i="114"/>
  <c r="G39" i="114"/>
  <c r="AF38" i="114"/>
  <c r="V38" i="114"/>
  <c r="U38" i="114"/>
  <c r="O38" i="114"/>
  <c r="N38" i="114"/>
  <c r="M38" i="114"/>
  <c r="AE38" i="114" s="1"/>
  <c r="K38" i="114"/>
  <c r="G38" i="114"/>
  <c r="AF37" i="114"/>
  <c r="AE37" i="114"/>
  <c r="V37" i="114"/>
  <c r="U37" i="114"/>
  <c r="O37" i="114"/>
  <c r="M37" i="114"/>
  <c r="N37" i="114" s="1"/>
  <c r="K37" i="114"/>
  <c r="G37" i="114"/>
  <c r="V36" i="114"/>
  <c r="U36" i="114"/>
  <c r="O36" i="114"/>
  <c r="N36" i="114"/>
  <c r="Q36" i="114" s="1"/>
  <c r="M36" i="114"/>
  <c r="K36" i="114"/>
  <c r="G36" i="114"/>
  <c r="X35" i="114"/>
  <c r="W35" i="114"/>
  <c r="V35" i="114"/>
  <c r="M35" i="114" s="1"/>
  <c r="O35" i="114"/>
  <c r="K35" i="114"/>
  <c r="G35" i="114"/>
  <c r="AD34" i="114"/>
  <c r="Z34" i="114"/>
  <c r="Y34" i="114"/>
  <c r="K18" i="113" s="1"/>
  <c r="O34" i="114"/>
  <c r="K34" i="114"/>
  <c r="AE33" i="114"/>
  <c r="V33" i="114"/>
  <c r="U33" i="114"/>
  <c r="O33" i="114"/>
  <c r="M33" i="114"/>
  <c r="K33" i="114"/>
  <c r="G33" i="114"/>
  <c r="AF32" i="114"/>
  <c r="AE32" i="114"/>
  <c r="V32" i="114"/>
  <c r="M32" i="114" s="1"/>
  <c r="N32" i="114" s="1"/>
  <c r="U32" i="114"/>
  <c r="O32" i="114"/>
  <c r="K32" i="114"/>
  <c r="G32" i="114"/>
  <c r="AF31" i="114"/>
  <c r="V31" i="114"/>
  <c r="U31" i="114"/>
  <c r="O31" i="114"/>
  <c r="N31" i="114"/>
  <c r="M31" i="114"/>
  <c r="AE31" i="114" s="1"/>
  <c r="K31" i="114"/>
  <c r="G31" i="114"/>
  <c r="AF30" i="114"/>
  <c r="AE30" i="114"/>
  <c r="V30" i="114"/>
  <c r="U30" i="114"/>
  <c r="O30" i="114"/>
  <c r="M30" i="114"/>
  <c r="N30" i="114" s="1"/>
  <c r="K30" i="114"/>
  <c r="G30" i="114"/>
  <c r="X29" i="114"/>
  <c r="W29" i="114"/>
  <c r="V29" i="114"/>
  <c r="M29" i="114" s="1"/>
  <c r="Q29" i="114"/>
  <c r="P29" i="114"/>
  <c r="O29" i="114"/>
  <c r="N29" i="114"/>
  <c r="K29" i="114"/>
  <c r="G29" i="114"/>
  <c r="AD28" i="114"/>
  <c r="Z28" i="114"/>
  <c r="Y28" i="114"/>
  <c r="O28" i="114"/>
  <c r="K28" i="114"/>
  <c r="AF27" i="114"/>
  <c r="AE27" i="114"/>
  <c r="V27" i="114"/>
  <c r="M27" i="114" s="1"/>
  <c r="N27" i="114" s="1"/>
  <c r="U27" i="114"/>
  <c r="Q27" i="114"/>
  <c r="P27" i="114"/>
  <c r="O27" i="114"/>
  <c r="K27" i="114"/>
  <c r="G27" i="114"/>
  <c r="AE26" i="114"/>
  <c r="V26" i="114"/>
  <c r="U26" i="114"/>
  <c r="O26" i="114"/>
  <c r="M26" i="114"/>
  <c r="K26" i="114"/>
  <c r="G26" i="114"/>
  <c r="AF25" i="114"/>
  <c r="AE25" i="114"/>
  <c r="V25" i="114"/>
  <c r="M25" i="114" s="1"/>
  <c r="N25" i="114" s="1"/>
  <c r="U25" i="114"/>
  <c r="O25" i="114"/>
  <c r="K25" i="114"/>
  <c r="G25" i="114"/>
  <c r="AF24" i="114"/>
  <c r="AE24" i="114"/>
  <c r="V24" i="114"/>
  <c r="U24" i="114"/>
  <c r="O24" i="114"/>
  <c r="N24" i="114"/>
  <c r="M24" i="114"/>
  <c r="K24" i="114"/>
  <c r="G24" i="114"/>
  <c r="AF23" i="114"/>
  <c r="AE23" i="114"/>
  <c r="V23" i="114"/>
  <c r="U23" i="114"/>
  <c r="O23" i="114"/>
  <c r="M23" i="114"/>
  <c r="N23" i="114" s="1"/>
  <c r="K23" i="114"/>
  <c r="G23" i="114"/>
  <c r="V22" i="114"/>
  <c r="U22" i="114"/>
  <c r="Q22" i="114"/>
  <c r="P22" i="114"/>
  <c r="O22" i="114"/>
  <c r="N22" i="114"/>
  <c r="M22" i="114"/>
  <c r="K22" i="114"/>
  <c r="G22" i="114"/>
  <c r="V21" i="114"/>
  <c r="M21" i="114" s="1"/>
  <c r="P21" i="114"/>
  <c r="O21" i="114"/>
  <c r="N21" i="114"/>
  <c r="Q21" i="114" s="1"/>
  <c r="K21" i="114"/>
  <c r="G21" i="114"/>
  <c r="AD20" i="114"/>
  <c r="Z20" i="114"/>
  <c r="Y20" i="114"/>
  <c r="F18" i="113" s="1"/>
  <c r="O20" i="114"/>
  <c r="K20" i="114"/>
  <c r="V19" i="114"/>
  <c r="M19" i="114" s="1"/>
  <c r="U19" i="114"/>
  <c r="O19" i="114"/>
  <c r="K19" i="114"/>
  <c r="G19" i="114"/>
  <c r="AF18" i="114"/>
  <c r="AE18" i="114"/>
  <c r="V18" i="114"/>
  <c r="M18" i="114" s="1"/>
  <c r="N18" i="114" s="1"/>
  <c r="U18" i="114"/>
  <c r="Q18" i="114"/>
  <c r="P18" i="114"/>
  <c r="O18" i="114"/>
  <c r="K18" i="114"/>
  <c r="G18" i="114"/>
  <c r="V17" i="114"/>
  <c r="U17" i="114"/>
  <c r="O17" i="114"/>
  <c r="M17" i="114"/>
  <c r="AE17" i="114" s="1"/>
  <c r="K17" i="114"/>
  <c r="G17" i="114"/>
  <c r="AF16" i="114"/>
  <c r="AE16" i="114"/>
  <c r="V16" i="114"/>
  <c r="M16" i="114" s="1"/>
  <c r="N16" i="114" s="1"/>
  <c r="U16" i="114"/>
  <c r="O16" i="114"/>
  <c r="K16" i="114"/>
  <c r="G16" i="114"/>
  <c r="AF15" i="114"/>
  <c r="AE15" i="114"/>
  <c r="V15" i="114"/>
  <c r="U15" i="114"/>
  <c r="O15" i="114"/>
  <c r="N15" i="114"/>
  <c r="M15" i="114"/>
  <c r="K15" i="114"/>
  <c r="G15" i="114"/>
  <c r="AF14" i="114"/>
  <c r="AE14" i="114"/>
  <c r="V14" i="114"/>
  <c r="U14" i="114"/>
  <c r="O14" i="114"/>
  <c r="M14" i="114"/>
  <c r="N14" i="114" s="1"/>
  <c r="K14" i="114"/>
  <c r="G14" i="114"/>
  <c r="X13" i="114"/>
  <c r="W13" i="114"/>
  <c r="V13" i="114"/>
  <c r="M13" i="114" s="1"/>
  <c r="Q13" i="114"/>
  <c r="P13" i="114"/>
  <c r="O13" i="114"/>
  <c r="N13" i="114"/>
  <c r="K13" i="114"/>
  <c r="G13" i="114"/>
  <c r="AD12" i="114"/>
  <c r="E21" i="113" s="1"/>
  <c r="Z12" i="114"/>
  <c r="E19" i="113" s="1"/>
  <c r="Y12" i="114"/>
  <c r="E18" i="113" s="1"/>
  <c r="O12" i="114"/>
  <c r="M12" i="114"/>
  <c r="K12" i="114"/>
  <c r="AF11" i="114"/>
  <c r="AE11" i="114"/>
  <c r="V11" i="114"/>
  <c r="M11" i="114" s="1"/>
  <c r="N11" i="114" s="1"/>
  <c r="U11" i="114"/>
  <c r="Q11" i="114"/>
  <c r="P11" i="114"/>
  <c r="O11" i="114"/>
  <c r="K11" i="114"/>
  <c r="G11" i="114"/>
  <c r="AE10" i="114"/>
  <c r="V10" i="114"/>
  <c r="U10" i="114"/>
  <c r="O10" i="114"/>
  <c r="M10" i="114"/>
  <c r="AF10" i="114" s="1"/>
  <c r="K10" i="114"/>
  <c r="G10" i="114"/>
  <c r="AF9" i="114"/>
  <c r="AE9" i="114"/>
  <c r="X9" i="114"/>
  <c r="W9" i="114"/>
  <c r="V9" i="114"/>
  <c r="O9" i="114"/>
  <c r="N9" i="114"/>
  <c r="M9" i="114"/>
  <c r="K9" i="114"/>
  <c r="G9" i="114"/>
  <c r="AD8" i="114"/>
  <c r="D21" i="113" s="1"/>
  <c r="Z8" i="114"/>
  <c r="D19" i="113" s="1"/>
  <c r="Y8" i="114"/>
  <c r="D18" i="113" s="1"/>
  <c r="Q8" i="114"/>
  <c r="R5" i="114" s="1"/>
  <c r="O8" i="114"/>
  <c r="N8" i="114"/>
  <c r="D14" i="113" s="1"/>
  <c r="M8" i="114"/>
  <c r="K8" i="114"/>
  <c r="V7" i="114"/>
  <c r="M7" i="114" s="1"/>
  <c r="U7" i="114"/>
  <c r="P7" i="114"/>
  <c r="O7" i="114"/>
  <c r="N7" i="114"/>
  <c r="Q7" i="114" s="1"/>
  <c r="K7" i="114"/>
  <c r="G7" i="114"/>
  <c r="AF6" i="114"/>
  <c r="AE6" i="114"/>
  <c r="V6" i="114"/>
  <c r="M6" i="114" s="1"/>
  <c r="U6" i="114"/>
  <c r="Q6" i="114"/>
  <c r="P6" i="114"/>
  <c r="O6" i="114"/>
  <c r="N6" i="114"/>
  <c r="K6" i="114"/>
  <c r="G6" i="114"/>
  <c r="V5" i="114"/>
  <c r="O5" i="114"/>
  <c r="M5" i="114"/>
  <c r="K5" i="114"/>
  <c r="G5" i="114"/>
  <c r="F1" i="114" s="1"/>
  <c r="AD2" i="114"/>
  <c r="N6" i="113" s="1"/>
  <c r="Z2" i="114"/>
  <c r="L6" i="113" s="1"/>
  <c r="Y2" i="114"/>
  <c r="K6" i="113" s="1"/>
  <c r="F2" i="114"/>
  <c r="D1" i="114"/>
  <c r="M22" i="113"/>
  <c r="L22" i="113"/>
  <c r="K22" i="113"/>
  <c r="J22" i="113"/>
  <c r="I22" i="113"/>
  <c r="H22" i="113"/>
  <c r="G22" i="113"/>
  <c r="F22" i="113"/>
  <c r="E22" i="113"/>
  <c r="D22" i="113"/>
  <c r="M21" i="113"/>
  <c r="L21" i="113"/>
  <c r="K21" i="113"/>
  <c r="J21" i="113"/>
  <c r="I21" i="113"/>
  <c r="H21" i="113"/>
  <c r="G21" i="113"/>
  <c r="F21" i="113"/>
  <c r="M20" i="113"/>
  <c r="L20" i="113"/>
  <c r="K20" i="113"/>
  <c r="J20" i="113"/>
  <c r="I20" i="113"/>
  <c r="H20" i="113"/>
  <c r="G20" i="113"/>
  <c r="F20" i="113"/>
  <c r="E20" i="113"/>
  <c r="D20" i="113"/>
  <c r="M19" i="113"/>
  <c r="L19" i="113"/>
  <c r="K19" i="113"/>
  <c r="J19" i="113"/>
  <c r="I19" i="113"/>
  <c r="H19" i="113"/>
  <c r="G19" i="113"/>
  <c r="F19" i="113"/>
  <c r="L18" i="113"/>
  <c r="I18" i="113"/>
  <c r="H18" i="113"/>
  <c r="G18" i="113"/>
  <c r="M17" i="113"/>
  <c r="L17" i="113"/>
  <c r="K17" i="113"/>
  <c r="J17" i="113"/>
  <c r="I17" i="113"/>
  <c r="H17" i="113"/>
  <c r="G17" i="113"/>
  <c r="F17" i="113"/>
  <c r="E17" i="113"/>
  <c r="D17" i="113"/>
  <c r="M16" i="113"/>
  <c r="L16" i="113"/>
  <c r="K16" i="113"/>
  <c r="J16" i="113"/>
  <c r="I16" i="113"/>
  <c r="H16" i="113"/>
  <c r="G16" i="113"/>
  <c r="F16" i="113"/>
  <c r="E16" i="113"/>
  <c r="D16" i="113"/>
  <c r="J15" i="113"/>
  <c r="D15" i="113"/>
  <c r="M13" i="113"/>
  <c r="L13" i="113"/>
  <c r="K13" i="113"/>
  <c r="J13" i="113"/>
  <c r="I13" i="113"/>
  <c r="G6" i="113" s="1"/>
  <c r="H13" i="113"/>
  <c r="G13" i="113"/>
  <c r="F13" i="113"/>
  <c r="E13" i="113"/>
  <c r="D13" i="113"/>
  <c r="M6" i="113"/>
  <c r="I6" i="113"/>
  <c r="I3" i="113"/>
  <c r="F3" i="113"/>
  <c r="C3" i="113"/>
  <c r="I8" i="123" l="1"/>
  <c r="E8" i="123"/>
  <c r="F7" i="121"/>
  <c r="D15" i="121"/>
  <c r="E7" i="121"/>
  <c r="G7" i="121"/>
  <c r="K15" i="121"/>
  <c r="I8" i="121" s="1"/>
  <c r="I7" i="121"/>
  <c r="I14" i="119"/>
  <c r="I15" i="119" s="1"/>
  <c r="Q53" i="120"/>
  <c r="R46" i="120" s="1"/>
  <c r="P53" i="120"/>
  <c r="Q34" i="120"/>
  <c r="R29" i="120" s="1"/>
  <c r="P34" i="120"/>
  <c r="K14" i="119"/>
  <c r="D15" i="119"/>
  <c r="F14" i="119"/>
  <c r="F15" i="119" s="1"/>
  <c r="Q20" i="120"/>
  <c r="R13" i="120" s="1"/>
  <c r="P20" i="120"/>
  <c r="E14" i="119"/>
  <c r="E15" i="119" s="1"/>
  <c r="Q12" i="120"/>
  <c r="R9" i="120" s="1"/>
  <c r="P12" i="120"/>
  <c r="Q28" i="120"/>
  <c r="R21" i="120" s="1"/>
  <c r="P28" i="120"/>
  <c r="G14" i="119"/>
  <c r="G15" i="119" s="1"/>
  <c r="Q58" i="120"/>
  <c r="R54" i="120" s="1"/>
  <c r="P58" i="120"/>
  <c r="J14" i="119"/>
  <c r="J15" i="119" s="1"/>
  <c r="M14" i="117"/>
  <c r="M15" i="117" s="1"/>
  <c r="Q65" i="118"/>
  <c r="R60" i="118" s="1"/>
  <c r="P65" i="118"/>
  <c r="Q62" i="118"/>
  <c r="P62" i="118"/>
  <c r="Q55" i="118"/>
  <c r="P55" i="118"/>
  <c r="Q56" i="118"/>
  <c r="P56" i="118"/>
  <c r="Q6" i="118"/>
  <c r="P6" i="118"/>
  <c r="H14" i="117"/>
  <c r="H15" i="117" s="1"/>
  <c r="P45" i="118"/>
  <c r="Q45" i="118"/>
  <c r="R41" i="118" s="1"/>
  <c r="Q29" i="118"/>
  <c r="P29" i="118"/>
  <c r="J14" i="117"/>
  <c r="J15" i="117" s="1"/>
  <c r="P59" i="118"/>
  <c r="Q59" i="118"/>
  <c r="R54" i="118" s="1"/>
  <c r="P47" i="118"/>
  <c r="Q47" i="118"/>
  <c r="Q63" i="118"/>
  <c r="P63" i="118"/>
  <c r="P8" i="118"/>
  <c r="Q8" i="118"/>
  <c r="R5" i="118" s="1"/>
  <c r="D14" i="117"/>
  <c r="G14" i="117"/>
  <c r="G15" i="117" s="1"/>
  <c r="Q28" i="118"/>
  <c r="R21" i="118" s="1"/>
  <c r="P28" i="118"/>
  <c r="Q12" i="118"/>
  <c r="R9" i="118" s="1"/>
  <c r="P12" i="118"/>
  <c r="E14" i="117"/>
  <c r="E15" i="117" s="1"/>
  <c r="N53" i="118"/>
  <c r="AF53" i="118"/>
  <c r="AG46" i="118" s="1"/>
  <c r="AE53" i="118"/>
  <c r="K14" i="117"/>
  <c r="Q34" i="118"/>
  <c r="R29" i="118" s="1"/>
  <c r="P34" i="118"/>
  <c r="P36" i="114"/>
  <c r="P48" i="114"/>
  <c r="P59" i="114"/>
  <c r="Q59" i="114"/>
  <c r="R54" i="114" s="1"/>
  <c r="E6" i="113"/>
  <c r="F6" i="113"/>
  <c r="N40" i="114"/>
  <c r="N45" i="114"/>
  <c r="N10" i="114"/>
  <c r="P10" i="114" s="1"/>
  <c r="P8" i="114"/>
  <c r="AE40" i="114"/>
  <c r="AE5" i="114"/>
  <c r="AF5" i="114"/>
  <c r="N5" i="114"/>
  <c r="AF7" i="114"/>
  <c r="AE7" i="114"/>
  <c r="AF8" i="114"/>
  <c r="AG5" i="114" s="1"/>
  <c r="AE8" i="114"/>
  <c r="Q9" i="114"/>
  <c r="P9" i="114"/>
  <c r="AF12" i="114"/>
  <c r="AG9" i="114" s="1"/>
  <c r="AE12" i="114"/>
  <c r="N12" i="114"/>
  <c r="M20" i="114"/>
  <c r="AE20" i="114" s="1"/>
  <c r="AF13" i="114"/>
  <c r="AE13" i="114"/>
  <c r="Q14" i="114"/>
  <c r="P14" i="114"/>
  <c r="Q15" i="114"/>
  <c r="P15" i="114"/>
  <c r="Q16" i="114"/>
  <c r="P16" i="114"/>
  <c r="AF17" i="114"/>
  <c r="N17" i="114"/>
  <c r="AF19" i="114"/>
  <c r="AE19" i="114"/>
  <c r="N19" i="114"/>
  <c r="AF21" i="114"/>
  <c r="AE21" i="114"/>
  <c r="M28" i="114"/>
  <c r="AF22" i="114"/>
  <c r="AE22" i="114"/>
  <c r="Q23" i="114"/>
  <c r="P23" i="114"/>
  <c r="Q24" i="114"/>
  <c r="P24" i="114"/>
  <c r="Q25" i="114"/>
  <c r="P25" i="114"/>
  <c r="AF26" i="114"/>
  <c r="N26" i="114"/>
  <c r="M34" i="114"/>
  <c r="AF29" i="114"/>
  <c r="AE29" i="114"/>
  <c r="Q30" i="114"/>
  <c r="P30" i="114"/>
  <c r="Q31" i="114"/>
  <c r="P31" i="114"/>
  <c r="Q32" i="114"/>
  <c r="P32" i="114"/>
  <c r="AF33" i="114"/>
  <c r="N33" i="114"/>
  <c r="AF35" i="114"/>
  <c r="AE35" i="114"/>
  <c r="N35" i="114"/>
  <c r="AF36" i="114"/>
  <c r="AE36" i="114"/>
  <c r="Q37" i="114"/>
  <c r="P37" i="114"/>
  <c r="Q38" i="114"/>
  <c r="P38" i="114"/>
  <c r="Q39" i="114"/>
  <c r="P39" i="114"/>
  <c r="L14" i="113"/>
  <c r="L15" i="113" s="1"/>
  <c r="Q40" i="114"/>
  <c r="R35" i="114" s="1"/>
  <c r="P40" i="114"/>
  <c r="N41" i="114"/>
  <c r="AF41" i="114"/>
  <c r="P42" i="114"/>
  <c r="Q42" i="114"/>
  <c r="AF43" i="114"/>
  <c r="AE43" i="114"/>
  <c r="Q44" i="114"/>
  <c r="P44" i="114"/>
  <c r="N46" i="114"/>
  <c r="M53" i="114"/>
  <c r="AF47" i="114"/>
  <c r="AE47" i="114"/>
  <c r="N47" i="114"/>
  <c r="AF48" i="114"/>
  <c r="AE48" i="114"/>
  <c r="P49" i="114"/>
  <c r="Q49" i="114"/>
  <c r="AF50" i="114"/>
  <c r="AE50" i="114"/>
  <c r="Q51" i="114"/>
  <c r="P51" i="114"/>
  <c r="Q52" i="114"/>
  <c r="P52" i="114"/>
  <c r="AF54" i="114"/>
  <c r="N54" i="114"/>
  <c r="AF56" i="114"/>
  <c r="AE56" i="114"/>
  <c r="N56" i="114"/>
  <c r="AF57" i="114"/>
  <c r="AE57" i="114"/>
  <c r="Q58" i="114"/>
  <c r="P58" i="114"/>
  <c r="AF59" i="114"/>
  <c r="AG54" i="114" s="1"/>
  <c r="AE59" i="114"/>
  <c r="N60" i="114"/>
  <c r="M65" i="114"/>
  <c r="AF61" i="114"/>
  <c r="AE61" i="114"/>
  <c r="N61" i="114"/>
  <c r="AF63" i="114"/>
  <c r="AE63" i="114"/>
  <c r="N63" i="114"/>
  <c r="AF64" i="114"/>
  <c r="AE64" i="114"/>
  <c r="AE42" i="114"/>
  <c r="AE49" i="114"/>
  <c r="AE58" i="114"/>
  <c r="AD70" i="112"/>
  <c r="Z70" i="112"/>
  <c r="Y70" i="112"/>
  <c r="O70" i="112"/>
  <c r="K70" i="112"/>
  <c r="AF69" i="112"/>
  <c r="V69" i="112"/>
  <c r="U69" i="112"/>
  <c r="O69" i="112"/>
  <c r="N69" i="112"/>
  <c r="Q69" i="112" s="1"/>
  <c r="M69" i="112"/>
  <c r="AE69" i="112" s="1"/>
  <c r="K69" i="112"/>
  <c r="G69" i="112"/>
  <c r="AF68" i="112"/>
  <c r="AE68" i="112"/>
  <c r="X68" i="112"/>
  <c r="W68" i="112"/>
  <c r="V68" i="112"/>
  <c r="U68" i="112"/>
  <c r="O68" i="112"/>
  <c r="M68" i="112"/>
  <c r="N68" i="112" s="1"/>
  <c r="K68" i="112"/>
  <c r="G68" i="112"/>
  <c r="AF67" i="112"/>
  <c r="V67" i="112"/>
  <c r="U67" i="112"/>
  <c r="O67" i="112"/>
  <c r="N67" i="112"/>
  <c r="Q67" i="112" s="1"/>
  <c r="M67" i="112"/>
  <c r="AE67" i="112" s="1"/>
  <c r="K67" i="112"/>
  <c r="G67" i="112"/>
  <c r="AF66" i="112"/>
  <c r="AE66" i="112"/>
  <c r="V66" i="112"/>
  <c r="U66" i="112"/>
  <c r="O66" i="112"/>
  <c r="M66" i="112"/>
  <c r="N66" i="112" s="1"/>
  <c r="K66" i="112"/>
  <c r="G66" i="112"/>
  <c r="V65" i="112"/>
  <c r="M65" i="112" s="1"/>
  <c r="U65" i="112"/>
  <c r="O65" i="112"/>
  <c r="K65" i="112"/>
  <c r="G65" i="112"/>
  <c r="AF64" i="112"/>
  <c r="AE64" i="112"/>
  <c r="X64" i="112"/>
  <c r="W64" i="112"/>
  <c r="V64" i="112"/>
  <c r="O64" i="112"/>
  <c r="N64" i="112"/>
  <c r="Q64" i="112" s="1"/>
  <c r="M64" i="112"/>
  <c r="K64" i="112"/>
  <c r="G64" i="112"/>
  <c r="AD63" i="112"/>
  <c r="Z63" i="112"/>
  <c r="Y63" i="112"/>
  <c r="O63" i="112"/>
  <c r="K63" i="112"/>
  <c r="V62" i="112"/>
  <c r="M62" i="112" s="1"/>
  <c r="U62" i="112"/>
  <c r="O62" i="112"/>
  <c r="K62" i="112"/>
  <c r="G62" i="112"/>
  <c r="V61" i="112"/>
  <c r="M61" i="112" s="1"/>
  <c r="U61" i="112"/>
  <c r="O61" i="112"/>
  <c r="K61" i="112"/>
  <c r="G61" i="112"/>
  <c r="V60" i="112"/>
  <c r="M60" i="112" s="1"/>
  <c r="U60" i="112"/>
  <c r="O60" i="112"/>
  <c r="K60" i="112"/>
  <c r="G60" i="112"/>
  <c r="V59" i="112"/>
  <c r="M59" i="112" s="1"/>
  <c r="U59" i="112"/>
  <c r="O59" i="112"/>
  <c r="K59" i="112"/>
  <c r="G59" i="112"/>
  <c r="V58" i="112"/>
  <c r="M58" i="112" s="1"/>
  <c r="O58" i="112"/>
  <c r="K58" i="112"/>
  <c r="G58" i="112"/>
  <c r="AD57" i="112"/>
  <c r="Z57" i="112"/>
  <c r="I19" i="111" s="1"/>
  <c r="Y57" i="112"/>
  <c r="I18" i="111" s="1"/>
  <c r="O57" i="112"/>
  <c r="K57" i="112"/>
  <c r="V56" i="112"/>
  <c r="M56" i="112" s="1"/>
  <c r="U56" i="112"/>
  <c r="O56" i="112"/>
  <c r="K56" i="112"/>
  <c r="G56" i="112"/>
  <c r="V55" i="112"/>
  <c r="U55" i="112"/>
  <c r="O55" i="112"/>
  <c r="M55" i="112"/>
  <c r="AF55" i="112" s="1"/>
  <c r="K55" i="112"/>
  <c r="G55" i="112"/>
  <c r="V54" i="112"/>
  <c r="U54" i="112"/>
  <c r="O54" i="112"/>
  <c r="M54" i="112"/>
  <c r="AF54" i="112" s="1"/>
  <c r="K54" i="112"/>
  <c r="G54" i="112"/>
  <c r="V53" i="112"/>
  <c r="U53" i="112"/>
  <c r="O53" i="112"/>
  <c r="M53" i="112"/>
  <c r="AF53" i="112" s="1"/>
  <c r="K53" i="112"/>
  <c r="G53" i="112"/>
  <c r="V52" i="112"/>
  <c r="U52" i="112"/>
  <c r="O52" i="112"/>
  <c r="M52" i="112"/>
  <c r="AF52" i="112" s="1"/>
  <c r="K52" i="112"/>
  <c r="G52" i="112"/>
  <c r="AF51" i="112"/>
  <c r="V51" i="112"/>
  <c r="U51" i="112"/>
  <c r="O51" i="112"/>
  <c r="M51" i="112"/>
  <c r="AE51" i="112" s="1"/>
  <c r="K51" i="112"/>
  <c r="G51" i="112"/>
  <c r="AF50" i="112"/>
  <c r="X50" i="112"/>
  <c r="W50" i="112"/>
  <c r="V50" i="112"/>
  <c r="O50" i="112"/>
  <c r="M50" i="112"/>
  <c r="AE50" i="112" s="1"/>
  <c r="K50" i="112"/>
  <c r="G50" i="112"/>
  <c r="AD49" i="112"/>
  <c r="Z49" i="112"/>
  <c r="Y49" i="112"/>
  <c r="O49" i="112"/>
  <c r="K49" i="112"/>
  <c r="AF48" i="112"/>
  <c r="V48" i="112"/>
  <c r="U48" i="112"/>
  <c r="O48" i="112"/>
  <c r="M48" i="112"/>
  <c r="AE48" i="112" s="1"/>
  <c r="K48" i="112"/>
  <c r="G48" i="112"/>
  <c r="AF47" i="112"/>
  <c r="AE47" i="112"/>
  <c r="V47" i="112"/>
  <c r="U47" i="112"/>
  <c r="O47" i="112"/>
  <c r="N47" i="112"/>
  <c r="Q47" i="112" s="1"/>
  <c r="M47" i="112"/>
  <c r="K47" i="112"/>
  <c r="G47" i="112"/>
  <c r="V46" i="112"/>
  <c r="M46" i="112" s="1"/>
  <c r="U46" i="112"/>
  <c r="O46" i="112"/>
  <c r="K46" i="112"/>
  <c r="G46" i="112"/>
  <c r="AF45" i="112"/>
  <c r="AE45" i="112"/>
  <c r="X45" i="112"/>
  <c r="W45" i="112"/>
  <c r="V45" i="112"/>
  <c r="O45" i="112"/>
  <c r="N45" i="112"/>
  <c r="Q45" i="112" s="1"/>
  <c r="M45" i="112"/>
  <c r="K45" i="112"/>
  <c r="G45" i="112"/>
  <c r="AD44" i="112"/>
  <c r="Z44" i="112"/>
  <c r="Y44" i="112"/>
  <c r="O44" i="112"/>
  <c r="K44" i="112"/>
  <c r="V43" i="112"/>
  <c r="M43" i="112" s="1"/>
  <c r="U43" i="112"/>
  <c r="O43" i="112"/>
  <c r="K43" i="112"/>
  <c r="G43" i="112"/>
  <c r="V42" i="112"/>
  <c r="M42" i="112" s="1"/>
  <c r="U42" i="112"/>
  <c r="O42" i="112"/>
  <c r="K42" i="112"/>
  <c r="G42" i="112"/>
  <c r="X41" i="112"/>
  <c r="W41" i="112"/>
  <c r="V41" i="112"/>
  <c r="M41" i="112" s="1"/>
  <c r="U41" i="112"/>
  <c r="O41" i="112"/>
  <c r="K41" i="112"/>
  <c r="G41" i="112"/>
  <c r="V40" i="112"/>
  <c r="M40" i="112" s="1"/>
  <c r="U40" i="112"/>
  <c r="O40" i="112"/>
  <c r="K40" i="112"/>
  <c r="G40" i="112"/>
  <c r="V39" i="112"/>
  <c r="M39" i="112" s="1"/>
  <c r="U39" i="112"/>
  <c r="O39" i="112"/>
  <c r="K39" i="112"/>
  <c r="G39" i="112"/>
  <c r="V38" i="112"/>
  <c r="M38" i="112" s="1"/>
  <c r="U38" i="112"/>
  <c r="O38" i="112"/>
  <c r="K38" i="112"/>
  <c r="G38" i="112"/>
  <c r="X37" i="112"/>
  <c r="W37" i="112"/>
  <c r="V37" i="112"/>
  <c r="M37" i="112" s="1"/>
  <c r="O37" i="112"/>
  <c r="K37" i="112"/>
  <c r="G37" i="112"/>
  <c r="AD36" i="112"/>
  <c r="Z36" i="112"/>
  <c r="K19" i="111" s="1"/>
  <c r="Y36" i="112"/>
  <c r="K18" i="111" s="1"/>
  <c r="O36" i="112"/>
  <c r="K36" i="112"/>
  <c r="V35" i="112"/>
  <c r="M35" i="112" s="1"/>
  <c r="U35" i="112"/>
  <c r="O35" i="112"/>
  <c r="K35" i="112"/>
  <c r="G35" i="112"/>
  <c r="V34" i="112"/>
  <c r="M34" i="112" s="1"/>
  <c r="U34" i="112"/>
  <c r="O34" i="112"/>
  <c r="K34" i="112"/>
  <c r="G34" i="112"/>
  <c r="X33" i="112"/>
  <c r="W33" i="112"/>
  <c r="V33" i="112"/>
  <c r="M33" i="112" s="1"/>
  <c r="U33" i="112"/>
  <c r="O33" i="112"/>
  <c r="K33" i="112"/>
  <c r="G33" i="112"/>
  <c r="V32" i="112"/>
  <c r="M32" i="112" s="1"/>
  <c r="U32" i="112"/>
  <c r="O32" i="112"/>
  <c r="K32" i="112"/>
  <c r="G32" i="112"/>
  <c r="V31" i="112"/>
  <c r="M31" i="112" s="1"/>
  <c r="U31" i="112"/>
  <c r="O31" i="112"/>
  <c r="K31" i="112"/>
  <c r="G31" i="112"/>
  <c r="V30" i="112"/>
  <c r="U30" i="112"/>
  <c r="O30" i="112"/>
  <c r="M30" i="112"/>
  <c r="AF30" i="112" s="1"/>
  <c r="K30" i="112"/>
  <c r="G30" i="112"/>
  <c r="X29" i="112"/>
  <c r="W29" i="112"/>
  <c r="V29" i="112"/>
  <c r="M29" i="112" s="1"/>
  <c r="O29" i="112"/>
  <c r="K29" i="112"/>
  <c r="G29" i="112"/>
  <c r="AD28" i="112"/>
  <c r="Z28" i="112"/>
  <c r="Y28" i="112"/>
  <c r="G18" i="111" s="1"/>
  <c r="O28" i="112"/>
  <c r="K28" i="112"/>
  <c r="V27" i="112"/>
  <c r="U27" i="112"/>
  <c r="O27" i="112"/>
  <c r="M27" i="112"/>
  <c r="AF27" i="112" s="1"/>
  <c r="K27" i="112"/>
  <c r="G27" i="112"/>
  <c r="V26" i="112"/>
  <c r="U26" i="112"/>
  <c r="O26" i="112"/>
  <c r="M26" i="112"/>
  <c r="AF26" i="112" s="1"/>
  <c r="K26" i="112"/>
  <c r="G26" i="112"/>
  <c r="V25" i="112"/>
  <c r="U25" i="112"/>
  <c r="O25" i="112"/>
  <c r="M25" i="112"/>
  <c r="AF25" i="112" s="1"/>
  <c r="K25" i="112"/>
  <c r="G25" i="112"/>
  <c r="V24" i="112"/>
  <c r="U24" i="112"/>
  <c r="O24" i="112"/>
  <c r="M24" i="112"/>
  <c r="AF24" i="112" s="1"/>
  <c r="K24" i="112"/>
  <c r="G24" i="112"/>
  <c r="AF23" i="112"/>
  <c r="V23" i="112"/>
  <c r="U23" i="112"/>
  <c r="O23" i="112"/>
  <c r="M23" i="112"/>
  <c r="AE23" i="112" s="1"/>
  <c r="K23" i="112"/>
  <c r="G23" i="112"/>
  <c r="AF22" i="112"/>
  <c r="AE22" i="112"/>
  <c r="V22" i="112"/>
  <c r="U22" i="112"/>
  <c r="O22" i="112"/>
  <c r="N22" i="112"/>
  <c r="Q22" i="112" s="1"/>
  <c r="M22" i="112"/>
  <c r="K22" i="112"/>
  <c r="G22" i="112"/>
  <c r="AF21" i="112"/>
  <c r="AE21" i="112"/>
  <c r="V21" i="112"/>
  <c r="O21" i="112"/>
  <c r="N21" i="112"/>
  <c r="Q21" i="112" s="1"/>
  <c r="M21" i="112"/>
  <c r="M28" i="112" s="1"/>
  <c r="K21" i="112"/>
  <c r="G21" i="112"/>
  <c r="AD20" i="112"/>
  <c r="F21" i="111" s="1"/>
  <c r="Z20" i="112"/>
  <c r="Y20" i="112"/>
  <c r="O20" i="112"/>
  <c r="K20" i="112"/>
  <c r="V19" i="112"/>
  <c r="M19" i="112" s="1"/>
  <c r="U19" i="112"/>
  <c r="O19" i="112"/>
  <c r="K19" i="112"/>
  <c r="G19" i="112"/>
  <c r="V18" i="112"/>
  <c r="M18" i="112" s="1"/>
  <c r="U18" i="112"/>
  <c r="O18" i="112"/>
  <c r="K18" i="112"/>
  <c r="G18" i="112"/>
  <c r="V17" i="112"/>
  <c r="M17" i="112" s="1"/>
  <c r="U17" i="112"/>
  <c r="O17" i="112"/>
  <c r="K17" i="112"/>
  <c r="G17" i="112"/>
  <c r="V16" i="112"/>
  <c r="M16" i="112" s="1"/>
  <c r="U16" i="112"/>
  <c r="O16" i="112"/>
  <c r="K16" i="112"/>
  <c r="G16" i="112"/>
  <c r="V15" i="112"/>
  <c r="M15" i="112" s="1"/>
  <c r="U15" i="112"/>
  <c r="O15" i="112"/>
  <c r="K15" i="112"/>
  <c r="G15" i="112"/>
  <c r="V14" i="112"/>
  <c r="U14" i="112"/>
  <c r="O14" i="112"/>
  <c r="M14" i="112"/>
  <c r="AF14" i="112" s="1"/>
  <c r="K14" i="112"/>
  <c r="G14" i="112"/>
  <c r="X13" i="112"/>
  <c r="W13" i="112"/>
  <c r="V13" i="112"/>
  <c r="M13" i="112" s="1"/>
  <c r="O13" i="112"/>
  <c r="K13" i="112"/>
  <c r="G13" i="112"/>
  <c r="AD12" i="112"/>
  <c r="Z12" i="112"/>
  <c r="Y12" i="112"/>
  <c r="O12" i="112"/>
  <c r="K12" i="112"/>
  <c r="V11" i="112"/>
  <c r="U11" i="112"/>
  <c r="O11" i="112"/>
  <c r="M11" i="112"/>
  <c r="AF11" i="112" s="1"/>
  <c r="K11" i="112"/>
  <c r="G11" i="112"/>
  <c r="V10" i="112"/>
  <c r="U10" i="112"/>
  <c r="O10" i="112"/>
  <c r="M10" i="112"/>
  <c r="AF10" i="112" s="1"/>
  <c r="K10" i="112"/>
  <c r="G10" i="112"/>
  <c r="X9" i="112"/>
  <c r="W9" i="112"/>
  <c r="V9" i="112"/>
  <c r="M9" i="112" s="1"/>
  <c r="O9" i="112"/>
  <c r="K9" i="112"/>
  <c r="G9" i="112"/>
  <c r="AD8" i="112"/>
  <c r="AD2" i="112" s="1"/>
  <c r="N6" i="111" s="1"/>
  <c r="Z8" i="112"/>
  <c r="Z2" i="112" s="1"/>
  <c r="L6" i="111" s="1"/>
  <c r="Y8" i="112"/>
  <c r="Y2" i="112" s="1"/>
  <c r="K6" i="111" s="1"/>
  <c r="O8" i="112"/>
  <c r="K8" i="112"/>
  <c r="V7" i="112"/>
  <c r="U7" i="112"/>
  <c r="O7" i="112"/>
  <c r="M7" i="112"/>
  <c r="AF7" i="112" s="1"/>
  <c r="K7" i="112"/>
  <c r="G7" i="112"/>
  <c r="V6" i="112"/>
  <c r="U6" i="112"/>
  <c r="O6" i="112"/>
  <c r="M6" i="112"/>
  <c r="AF6" i="112" s="1"/>
  <c r="K6" i="112"/>
  <c r="G6" i="112"/>
  <c r="V5" i="112"/>
  <c r="O5" i="112"/>
  <c r="M5" i="112"/>
  <c r="M8" i="112" s="1"/>
  <c r="K5" i="112"/>
  <c r="G5" i="112"/>
  <c r="F1" i="112" s="1"/>
  <c r="H2" i="112"/>
  <c r="H1" i="112"/>
  <c r="D1" i="112"/>
  <c r="M22" i="111"/>
  <c r="L22" i="111"/>
  <c r="K22" i="111"/>
  <c r="J22" i="111"/>
  <c r="I22" i="111"/>
  <c r="H22" i="111"/>
  <c r="G22" i="111"/>
  <c r="F22" i="111"/>
  <c r="E22" i="111"/>
  <c r="D22" i="111"/>
  <c r="M21" i="111"/>
  <c r="L21" i="111"/>
  <c r="K21" i="111"/>
  <c r="J21" i="111"/>
  <c r="I21" i="111"/>
  <c r="H21" i="111"/>
  <c r="G21" i="111"/>
  <c r="E21" i="111"/>
  <c r="D21" i="111"/>
  <c r="M20" i="111"/>
  <c r="L20" i="111"/>
  <c r="K20" i="111"/>
  <c r="J20" i="111"/>
  <c r="I20" i="111"/>
  <c r="H20" i="111"/>
  <c r="G20" i="111"/>
  <c r="F20" i="111"/>
  <c r="E20" i="111"/>
  <c r="D20" i="111"/>
  <c r="M19" i="111"/>
  <c r="L19" i="111"/>
  <c r="J19" i="111"/>
  <c r="H19" i="111"/>
  <c r="G19" i="111"/>
  <c r="F19" i="111"/>
  <c r="E19" i="111"/>
  <c r="D19" i="111"/>
  <c r="M18" i="111"/>
  <c r="L18" i="111"/>
  <c r="J18" i="111"/>
  <c r="H18" i="111"/>
  <c r="F18" i="111"/>
  <c r="E18" i="111"/>
  <c r="D18" i="111"/>
  <c r="M17" i="111"/>
  <c r="L17" i="111"/>
  <c r="K17" i="111"/>
  <c r="J17" i="111"/>
  <c r="I17" i="111"/>
  <c r="H17" i="111"/>
  <c r="G17" i="111"/>
  <c r="F17" i="111"/>
  <c r="E17" i="111"/>
  <c r="D17" i="111"/>
  <c r="M16" i="111"/>
  <c r="L16" i="111"/>
  <c r="K16" i="111"/>
  <c r="J16" i="111"/>
  <c r="I16" i="111"/>
  <c r="H16" i="111"/>
  <c r="G16" i="111"/>
  <c r="F16" i="111"/>
  <c r="E16" i="111"/>
  <c r="D16" i="111"/>
  <c r="M13" i="111"/>
  <c r="L13" i="111"/>
  <c r="K13" i="111"/>
  <c r="I6" i="111" s="1"/>
  <c r="J13" i="111"/>
  <c r="I13" i="111"/>
  <c r="H13" i="111"/>
  <c r="E6" i="111" s="1"/>
  <c r="G13" i="111"/>
  <c r="F13" i="111"/>
  <c r="E13" i="111"/>
  <c r="D13" i="111"/>
  <c r="M6" i="111"/>
  <c r="F3" i="111"/>
  <c r="C3" i="111"/>
  <c r="E8" i="121" l="1"/>
  <c r="G8" i="121"/>
  <c r="F8" i="121"/>
  <c r="E7" i="119"/>
  <c r="G8" i="119"/>
  <c r="F8" i="119"/>
  <c r="F7" i="119"/>
  <c r="K15" i="119"/>
  <c r="I8" i="119" s="1"/>
  <c r="I7" i="119"/>
  <c r="G7" i="119"/>
  <c r="I7" i="117"/>
  <c r="K15" i="117"/>
  <c r="I8" i="117" s="1"/>
  <c r="D15" i="117"/>
  <c r="Q53" i="118"/>
  <c r="R46" i="118" s="1"/>
  <c r="P53" i="118"/>
  <c r="I14" i="117"/>
  <c r="I15" i="117" s="1"/>
  <c r="D2" i="118"/>
  <c r="N34" i="114"/>
  <c r="Q34" i="114" s="1"/>
  <c r="R29" i="114" s="1"/>
  <c r="AF34" i="114"/>
  <c r="AG29" i="114" s="1"/>
  <c r="AE34" i="114"/>
  <c r="Q47" i="114"/>
  <c r="P47" i="114"/>
  <c r="N53" i="114"/>
  <c r="I14" i="113" s="1"/>
  <c r="I15" i="113" s="1"/>
  <c r="AE53" i="114"/>
  <c r="AF53" i="114"/>
  <c r="AG46" i="114" s="1"/>
  <c r="Q45" i="114"/>
  <c r="R41" i="114" s="1"/>
  <c r="P45" i="114"/>
  <c r="H14" i="113"/>
  <c r="H15" i="113" s="1"/>
  <c r="Q10" i="114"/>
  <c r="P63" i="114"/>
  <c r="Q63" i="114"/>
  <c r="Q19" i="114"/>
  <c r="P19" i="114"/>
  <c r="Q41" i="114"/>
  <c r="P41" i="114"/>
  <c r="P5" i="114"/>
  <c r="Q5" i="114"/>
  <c r="P35" i="114"/>
  <c r="Q35" i="114"/>
  <c r="Q56" i="114"/>
  <c r="P56" i="114"/>
  <c r="Q12" i="114"/>
  <c r="R9" i="114" s="1"/>
  <c r="Q61" i="114"/>
  <c r="P61" i="114"/>
  <c r="AF65" i="114"/>
  <c r="AG60" i="114" s="1"/>
  <c r="AE65" i="114"/>
  <c r="N65" i="114"/>
  <c r="Q60" i="114"/>
  <c r="P60" i="114"/>
  <c r="Q54" i="114"/>
  <c r="P54" i="114"/>
  <c r="Q53" i="114"/>
  <c r="R46" i="114" s="1"/>
  <c r="P53" i="114"/>
  <c r="Q46" i="114"/>
  <c r="P46" i="114"/>
  <c r="Q33" i="114"/>
  <c r="P33" i="114"/>
  <c r="P34" i="114"/>
  <c r="K14" i="113"/>
  <c r="Q26" i="114"/>
  <c r="P26" i="114"/>
  <c r="AF28" i="114"/>
  <c r="AG21" i="114" s="1"/>
  <c r="AE28" i="114"/>
  <c r="N28" i="114"/>
  <c r="G14" i="113" s="1"/>
  <c r="G15" i="113" s="1"/>
  <c r="Q17" i="114"/>
  <c r="P17" i="114"/>
  <c r="N20" i="114"/>
  <c r="AF20" i="114"/>
  <c r="AG13" i="114" s="1"/>
  <c r="P12" i="114"/>
  <c r="E14" i="113"/>
  <c r="N62" i="112"/>
  <c r="AF62" i="112"/>
  <c r="AE62" i="112"/>
  <c r="N59" i="112"/>
  <c r="AF59" i="112"/>
  <c r="AE59" i="112"/>
  <c r="N33" i="112"/>
  <c r="AF33" i="112"/>
  <c r="AE33" i="112"/>
  <c r="N35" i="112"/>
  <c r="AF35" i="112"/>
  <c r="AE35" i="112"/>
  <c r="N17" i="112"/>
  <c r="AF17" i="112"/>
  <c r="AE17" i="112"/>
  <c r="N29" i="112"/>
  <c r="AF29" i="112"/>
  <c r="M36" i="112"/>
  <c r="AE29" i="112"/>
  <c r="F2" i="112"/>
  <c r="I3" i="111"/>
  <c r="N13" i="112"/>
  <c r="AF13" i="112"/>
  <c r="AE13" i="112"/>
  <c r="M20" i="112"/>
  <c r="AF31" i="112"/>
  <c r="AE31" i="112"/>
  <c r="N31" i="112"/>
  <c r="N40" i="112"/>
  <c r="AF40" i="112"/>
  <c r="AE40" i="112"/>
  <c r="N42" i="112"/>
  <c r="AF42" i="112"/>
  <c r="AE42" i="112"/>
  <c r="M12" i="112"/>
  <c r="AF9" i="112"/>
  <c r="AE9" i="112"/>
  <c r="N9" i="112"/>
  <c r="AF15" i="112"/>
  <c r="AE15" i="112"/>
  <c r="N15" i="112"/>
  <c r="N46" i="112"/>
  <c r="M49" i="112"/>
  <c r="AF46" i="112"/>
  <c r="AE46" i="112"/>
  <c r="N60" i="112"/>
  <c r="AF60" i="112"/>
  <c r="AE60" i="112"/>
  <c r="Q68" i="112"/>
  <c r="P68" i="112"/>
  <c r="N38" i="112"/>
  <c r="AF38" i="112"/>
  <c r="AE38" i="112"/>
  <c r="N58" i="112"/>
  <c r="AF58" i="112"/>
  <c r="M63" i="112"/>
  <c r="AE58" i="112"/>
  <c r="N18" i="112"/>
  <c r="AF18" i="112"/>
  <c r="AE18" i="112"/>
  <c r="N28" i="112"/>
  <c r="AF28" i="112"/>
  <c r="AG21" i="112" s="1"/>
  <c r="AE28" i="112"/>
  <c r="AF8" i="112"/>
  <c r="AG5" i="112" s="1"/>
  <c r="AE8" i="112"/>
  <c r="N8" i="112"/>
  <c r="N32" i="112"/>
  <c r="AF32" i="112"/>
  <c r="AE32" i="112"/>
  <c r="N34" i="112"/>
  <c r="AF34" i="112"/>
  <c r="AE34" i="112"/>
  <c r="N41" i="112"/>
  <c r="AF41" i="112"/>
  <c r="AE41" i="112"/>
  <c r="N43" i="112"/>
  <c r="AF43" i="112"/>
  <c r="AE43" i="112"/>
  <c r="N16" i="112"/>
  <c r="AF16" i="112"/>
  <c r="AE16" i="112"/>
  <c r="AF56" i="112"/>
  <c r="AE56" i="112"/>
  <c r="N56" i="112"/>
  <c r="N61" i="112"/>
  <c r="AF61" i="112"/>
  <c r="AE61" i="112"/>
  <c r="N37" i="112"/>
  <c r="AF37" i="112"/>
  <c r="M44" i="112"/>
  <c r="AE37" i="112"/>
  <c r="N39" i="112"/>
  <c r="AF39" i="112"/>
  <c r="AE39" i="112"/>
  <c r="N65" i="112"/>
  <c r="M70" i="112"/>
  <c r="AF65" i="112"/>
  <c r="AE65" i="112"/>
  <c r="N19" i="112"/>
  <c r="AF19" i="112"/>
  <c r="AE19" i="112"/>
  <c r="Q66" i="112"/>
  <c r="P66" i="112"/>
  <c r="F6" i="111"/>
  <c r="G6" i="111"/>
  <c r="N11" i="112"/>
  <c r="N14" i="112"/>
  <c r="N27" i="112"/>
  <c r="N30" i="112"/>
  <c r="N55" i="112"/>
  <c r="N7" i="112"/>
  <c r="N10" i="112"/>
  <c r="N26" i="112"/>
  <c r="N54" i="112"/>
  <c r="N5" i="112"/>
  <c r="N6" i="112"/>
  <c r="N25" i="112"/>
  <c r="N50" i="112"/>
  <c r="N53" i="112"/>
  <c r="N24" i="112"/>
  <c r="N52" i="112"/>
  <c r="N23" i="112"/>
  <c r="N48" i="112"/>
  <c r="N51" i="112"/>
  <c r="AE11" i="112"/>
  <c r="AE14" i="112"/>
  <c r="AE27" i="112"/>
  <c r="AE30" i="112"/>
  <c r="P45" i="112"/>
  <c r="AE55" i="112"/>
  <c r="P64" i="112"/>
  <c r="P67" i="112"/>
  <c r="P69" i="112"/>
  <c r="AE7" i="112"/>
  <c r="AE10" i="112"/>
  <c r="P21" i="112"/>
  <c r="P22" i="112"/>
  <c r="AE26" i="112"/>
  <c r="P47" i="112"/>
  <c r="AE54" i="112"/>
  <c r="AE5" i="112"/>
  <c r="AE6" i="112"/>
  <c r="AE25" i="112"/>
  <c r="AE53" i="112"/>
  <c r="M57" i="112"/>
  <c r="AF5" i="112"/>
  <c r="AE24" i="112"/>
  <c r="AE52" i="112"/>
  <c r="AD72" i="110"/>
  <c r="Z72" i="110"/>
  <c r="Y72" i="110"/>
  <c r="O72" i="110"/>
  <c r="K72" i="110"/>
  <c r="AF71" i="110"/>
  <c r="V71" i="110"/>
  <c r="U71" i="110"/>
  <c r="O71" i="110"/>
  <c r="M71" i="110"/>
  <c r="AE71" i="110" s="1"/>
  <c r="K71" i="110"/>
  <c r="G71" i="110"/>
  <c r="X70" i="110"/>
  <c r="W70" i="110"/>
  <c r="V70" i="110"/>
  <c r="U70" i="110"/>
  <c r="O70" i="110"/>
  <c r="M70" i="110"/>
  <c r="N70" i="110" s="1"/>
  <c r="K70" i="110"/>
  <c r="G70" i="110"/>
  <c r="AF69" i="110"/>
  <c r="V69" i="110"/>
  <c r="U69" i="110"/>
  <c r="O69" i="110"/>
  <c r="M69" i="110"/>
  <c r="AE69" i="110" s="1"/>
  <c r="K69" i="110"/>
  <c r="G69" i="110"/>
  <c r="AE68" i="110"/>
  <c r="V68" i="110"/>
  <c r="U68" i="110"/>
  <c r="O68" i="110"/>
  <c r="M68" i="110"/>
  <c r="N68" i="110" s="1"/>
  <c r="K68" i="110"/>
  <c r="G68" i="110"/>
  <c r="V67" i="110"/>
  <c r="M67" i="110" s="1"/>
  <c r="U67" i="110"/>
  <c r="O67" i="110"/>
  <c r="K67" i="110"/>
  <c r="G67" i="110"/>
  <c r="AF66" i="110"/>
  <c r="X66" i="110"/>
  <c r="W66" i="110"/>
  <c r="V66" i="110"/>
  <c r="O66" i="110"/>
  <c r="M66" i="110"/>
  <c r="N66" i="110" s="1"/>
  <c r="K66" i="110"/>
  <c r="G66" i="110"/>
  <c r="AD65" i="110"/>
  <c r="Z65" i="110"/>
  <c r="Y65" i="110"/>
  <c r="O65" i="110"/>
  <c r="K65" i="110"/>
  <c r="V64" i="110"/>
  <c r="M64" i="110" s="1"/>
  <c r="U64" i="110"/>
  <c r="O64" i="110"/>
  <c r="K64" i="110"/>
  <c r="G64" i="110"/>
  <c r="AF63" i="110"/>
  <c r="AE63" i="110"/>
  <c r="V63" i="110"/>
  <c r="U63" i="110"/>
  <c r="O63" i="110"/>
  <c r="M63" i="110"/>
  <c r="N63" i="110" s="1"/>
  <c r="K63" i="110"/>
  <c r="G63" i="110"/>
  <c r="V62" i="110"/>
  <c r="M62" i="110" s="1"/>
  <c r="U62" i="110"/>
  <c r="O62" i="110"/>
  <c r="K62" i="110"/>
  <c r="G62" i="110"/>
  <c r="V61" i="110"/>
  <c r="M61" i="110" s="1"/>
  <c r="U61" i="110"/>
  <c r="O61" i="110"/>
  <c r="K61" i="110"/>
  <c r="G61" i="110"/>
  <c r="V60" i="110"/>
  <c r="M60" i="110" s="1"/>
  <c r="O60" i="110"/>
  <c r="K60" i="110"/>
  <c r="G60" i="110"/>
  <c r="AD59" i="110"/>
  <c r="I21" i="109" s="1"/>
  <c r="Z59" i="110"/>
  <c r="Y59" i="110"/>
  <c r="I18" i="109" s="1"/>
  <c r="O59" i="110"/>
  <c r="K59" i="110"/>
  <c r="V58" i="110"/>
  <c r="M58" i="110" s="1"/>
  <c r="U58" i="110"/>
  <c r="O58" i="110"/>
  <c r="K58" i="110"/>
  <c r="G58" i="110"/>
  <c r="V57" i="110"/>
  <c r="U57" i="110"/>
  <c r="O57" i="110"/>
  <c r="M57" i="110"/>
  <c r="AF57" i="110" s="1"/>
  <c r="K57" i="110"/>
  <c r="G57" i="110"/>
  <c r="V56" i="110"/>
  <c r="M56" i="110" s="1"/>
  <c r="U56" i="110"/>
  <c r="O56" i="110"/>
  <c r="K56" i="110"/>
  <c r="G56" i="110"/>
  <c r="V55" i="110"/>
  <c r="U55" i="110"/>
  <c r="O55" i="110"/>
  <c r="M55" i="110"/>
  <c r="AF55" i="110" s="1"/>
  <c r="K55" i="110"/>
  <c r="G55" i="110"/>
  <c r="V54" i="110"/>
  <c r="U54" i="110"/>
  <c r="O54" i="110"/>
  <c r="M54" i="110"/>
  <c r="AF54" i="110" s="1"/>
  <c r="K54" i="110"/>
  <c r="G54" i="110"/>
  <c r="AF53" i="110"/>
  <c r="V53" i="110"/>
  <c r="U53" i="110"/>
  <c r="O53" i="110"/>
  <c r="M53" i="110"/>
  <c r="AE53" i="110" s="1"/>
  <c r="K53" i="110"/>
  <c r="G53" i="110"/>
  <c r="X52" i="110"/>
  <c r="W52" i="110"/>
  <c r="V52" i="110"/>
  <c r="O52" i="110"/>
  <c r="M52" i="110"/>
  <c r="AE52" i="110" s="1"/>
  <c r="K52" i="110"/>
  <c r="G52" i="110"/>
  <c r="AD51" i="110"/>
  <c r="Z51" i="110"/>
  <c r="Y51" i="110"/>
  <c r="O51" i="110"/>
  <c r="K51" i="110"/>
  <c r="AF50" i="110"/>
  <c r="V50" i="110"/>
  <c r="U50" i="110"/>
  <c r="O50" i="110"/>
  <c r="M50" i="110"/>
  <c r="AE50" i="110" s="1"/>
  <c r="K50" i="110"/>
  <c r="G50" i="110"/>
  <c r="AE49" i="110"/>
  <c r="V49" i="110"/>
  <c r="U49" i="110"/>
  <c r="O49" i="110"/>
  <c r="N49" i="110"/>
  <c r="Q49" i="110" s="1"/>
  <c r="M49" i="110"/>
  <c r="AF49" i="110" s="1"/>
  <c r="K49" i="110"/>
  <c r="G49" i="110"/>
  <c r="V48" i="110"/>
  <c r="M48" i="110" s="1"/>
  <c r="U48" i="110"/>
  <c r="O48" i="110"/>
  <c r="K48" i="110"/>
  <c r="G48" i="110"/>
  <c r="AF47" i="110"/>
  <c r="X47" i="110"/>
  <c r="W47" i="110"/>
  <c r="V47" i="110"/>
  <c r="O47" i="110"/>
  <c r="M47" i="110"/>
  <c r="N47" i="110" s="1"/>
  <c r="K47" i="110"/>
  <c r="G47" i="110"/>
  <c r="AD46" i="110"/>
  <c r="Z46" i="110"/>
  <c r="Y46" i="110"/>
  <c r="O46" i="110"/>
  <c r="K46" i="110"/>
  <c r="V45" i="110"/>
  <c r="M45" i="110" s="1"/>
  <c r="U45" i="110"/>
  <c r="O45" i="110"/>
  <c r="K45" i="110"/>
  <c r="G45" i="110"/>
  <c r="AF44" i="110"/>
  <c r="AE44" i="110"/>
  <c r="V44" i="110"/>
  <c r="U44" i="110"/>
  <c r="O44" i="110"/>
  <c r="M44" i="110"/>
  <c r="N44" i="110" s="1"/>
  <c r="K44" i="110"/>
  <c r="G44" i="110"/>
  <c r="X43" i="110"/>
  <c r="W43" i="110"/>
  <c r="V43" i="110"/>
  <c r="M43" i="110" s="1"/>
  <c r="U43" i="110"/>
  <c r="O43" i="110"/>
  <c r="K43" i="110"/>
  <c r="G43" i="110"/>
  <c r="AF42" i="110"/>
  <c r="AE42" i="110"/>
  <c r="V42" i="110"/>
  <c r="U42" i="110"/>
  <c r="O42" i="110"/>
  <c r="M42" i="110"/>
  <c r="N42" i="110" s="1"/>
  <c r="K42" i="110"/>
  <c r="G42" i="110"/>
  <c r="V41" i="110"/>
  <c r="M41" i="110" s="1"/>
  <c r="U41" i="110"/>
  <c r="O41" i="110"/>
  <c r="K41" i="110"/>
  <c r="G41" i="110"/>
  <c r="V40" i="110"/>
  <c r="M40" i="110" s="1"/>
  <c r="U40" i="110"/>
  <c r="O40" i="110"/>
  <c r="K40" i="110"/>
  <c r="G40" i="110"/>
  <c r="X39" i="110"/>
  <c r="W39" i="110"/>
  <c r="V39" i="110"/>
  <c r="O39" i="110"/>
  <c r="M39" i="110"/>
  <c r="N39" i="110" s="1"/>
  <c r="K39" i="110"/>
  <c r="G39" i="110"/>
  <c r="AD38" i="110"/>
  <c r="K21" i="109" s="1"/>
  <c r="Z38" i="110"/>
  <c r="Y38" i="110"/>
  <c r="K18" i="109" s="1"/>
  <c r="O38" i="110"/>
  <c r="K38" i="110"/>
  <c r="V37" i="110"/>
  <c r="M37" i="110" s="1"/>
  <c r="U37" i="110"/>
  <c r="O37" i="110"/>
  <c r="K37" i="110"/>
  <c r="G37" i="110"/>
  <c r="V36" i="110"/>
  <c r="M36" i="110" s="1"/>
  <c r="U36" i="110"/>
  <c r="O36" i="110"/>
  <c r="K36" i="110"/>
  <c r="G36" i="110"/>
  <c r="X35" i="110"/>
  <c r="W35" i="110"/>
  <c r="V35" i="110"/>
  <c r="M35" i="110" s="1"/>
  <c r="U35" i="110"/>
  <c r="O35" i="110"/>
  <c r="K35" i="110"/>
  <c r="G35" i="110"/>
  <c r="V34" i="110"/>
  <c r="M34" i="110" s="1"/>
  <c r="U34" i="110"/>
  <c r="O34" i="110"/>
  <c r="K34" i="110"/>
  <c r="G34" i="110"/>
  <c r="V33" i="110"/>
  <c r="M33" i="110" s="1"/>
  <c r="U33" i="110"/>
  <c r="O33" i="110"/>
  <c r="K33" i="110"/>
  <c r="G33" i="110"/>
  <c r="V32" i="110"/>
  <c r="U32" i="110"/>
  <c r="O32" i="110"/>
  <c r="M32" i="110"/>
  <c r="AF32" i="110" s="1"/>
  <c r="K32" i="110"/>
  <c r="G32" i="110"/>
  <c r="X31" i="110"/>
  <c r="W31" i="110"/>
  <c r="V31" i="110"/>
  <c r="M31" i="110" s="1"/>
  <c r="O31" i="110"/>
  <c r="K31" i="110"/>
  <c r="G31" i="110"/>
  <c r="AD30" i="110"/>
  <c r="Z30" i="110"/>
  <c r="Y30" i="110"/>
  <c r="O30" i="110"/>
  <c r="K30" i="110"/>
  <c r="V29" i="110"/>
  <c r="U29" i="110"/>
  <c r="O29" i="110"/>
  <c r="M29" i="110"/>
  <c r="AF29" i="110" s="1"/>
  <c r="K29" i="110"/>
  <c r="G29" i="110"/>
  <c r="V28" i="110"/>
  <c r="M28" i="110" s="1"/>
  <c r="U28" i="110"/>
  <c r="O28" i="110"/>
  <c r="K28" i="110"/>
  <c r="G28" i="110"/>
  <c r="V27" i="110"/>
  <c r="U27" i="110"/>
  <c r="O27" i="110"/>
  <c r="M27" i="110"/>
  <c r="AF27" i="110" s="1"/>
  <c r="K27" i="110"/>
  <c r="G27" i="110"/>
  <c r="X26" i="110"/>
  <c r="W26" i="110"/>
  <c r="V26" i="110"/>
  <c r="M26" i="110" s="1"/>
  <c r="U26" i="110"/>
  <c r="O26" i="110"/>
  <c r="K26" i="110"/>
  <c r="G26" i="110"/>
  <c r="V25" i="110"/>
  <c r="U25" i="110"/>
  <c r="O25" i="110"/>
  <c r="M25" i="110"/>
  <c r="AF25" i="110" s="1"/>
  <c r="K25" i="110"/>
  <c r="G25" i="110"/>
  <c r="V24" i="110"/>
  <c r="U24" i="110"/>
  <c r="O24" i="110"/>
  <c r="M24" i="110"/>
  <c r="AF24" i="110" s="1"/>
  <c r="K24" i="110"/>
  <c r="G24" i="110"/>
  <c r="AF23" i="110"/>
  <c r="V23" i="110"/>
  <c r="U23" i="110"/>
  <c r="O23" i="110"/>
  <c r="M23" i="110"/>
  <c r="AE23" i="110" s="1"/>
  <c r="K23" i="110"/>
  <c r="G23" i="110"/>
  <c r="AF22" i="110"/>
  <c r="V22" i="110"/>
  <c r="O22" i="110"/>
  <c r="M22" i="110"/>
  <c r="AE22" i="110" s="1"/>
  <c r="K22" i="110"/>
  <c r="G22" i="110"/>
  <c r="AD21" i="110"/>
  <c r="Z21" i="110"/>
  <c r="Y21" i="110"/>
  <c r="O21" i="110"/>
  <c r="K21" i="110"/>
  <c r="F13" i="109" s="1"/>
  <c r="V20" i="110"/>
  <c r="M20" i="110" s="1"/>
  <c r="U20" i="110"/>
  <c r="O20" i="110"/>
  <c r="K20" i="110"/>
  <c r="G20" i="110"/>
  <c r="AF19" i="110"/>
  <c r="AE19" i="110"/>
  <c r="V19" i="110"/>
  <c r="U19" i="110"/>
  <c r="O19" i="110"/>
  <c r="M19" i="110"/>
  <c r="N19" i="110" s="1"/>
  <c r="K19" i="110"/>
  <c r="G19" i="110"/>
  <c r="V18" i="110"/>
  <c r="M18" i="110" s="1"/>
  <c r="U18" i="110"/>
  <c r="O18" i="110"/>
  <c r="K18" i="110"/>
  <c r="G18" i="110"/>
  <c r="V17" i="110"/>
  <c r="M17" i="110" s="1"/>
  <c r="U17" i="110"/>
  <c r="O17" i="110"/>
  <c r="K17" i="110"/>
  <c r="G17" i="110"/>
  <c r="V16" i="110"/>
  <c r="M16" i="110" s="1"/>
  <c r="U16" i="110"/>
  <c r="O16" i="110"/>
  <c r="K16" i="110"/>
  <c r="G16" i="110"/>
  <c r="V15" i="110"/>
  <c r="M15" i="110" s="1"/>
  <c r="U15" i="110"/>
  <c r="O15" i="110"/>
  <c r="K15" i="110"/>
  <c r="G15" i="110"/>
  <c r="X14" i="110"/>
  <c r="W14" i="110"/>
  <c r="V14" i="110"/>
  <c r="M14" i="110" s="1"/>
  <c r="O14" i="110"/>
  <c r="K14" i="110"/>
  <c r="G14" i="110"/>
  <c r="AD13" i="110"/>
  <c r="Z13" i="110"/>
  <c r="E19" i="109" s="1"/>
  <c r="Y13" i="110"/>
  <c r="E18" i="109" s="1"/>
  <c r="O13" i="110"/>
  <c r="K13" i="110"/>
  <c r="V12" i="110"/>
  <c r="M12" i="110" s="1"/>
  <c r="U12" i="110"/>
  <c r="O12" i="110"/>
  <c r="K12" i="110"/>
  <c r="G12" i="110"/>
  <c r="X11" i="110"/>
  <c r="W11" i="110"/>
  <c r="V11" i="110"/>
  <c r="M11" i="110" s="1"/>
  <c r="U11" i="110"/>
  <c r="O11" i="110"/>
  <c r="K11" i="110"/>
  <c r="G11" i="110"/>
  <c r="V10" i="110"/>
  <c r="M10" i="110" s="1"/>
  <c r="U10" i="110"/>
  <c r="O10" i="110"/>
  <c r="K10" i="110"/>
  <c r="G10" i="110"/>
  <c r="X9" i="110"/>
  <c r="W9" i="110"/>
  <c r="V9" i="110"/>
  <c r="M9" i="110" s="1"/>
  <c r="O9" i="110"/>
  <c r="K9" i="110"/>
  <c r="G9" i="110"/>
  <c r="AD8" i="110"/>
  <c r="AD2" i="110" s="1"/>
  <c r="N6" i="109" s="1"/>
  <c r="Z8" i="110"/>
  <c r="D19" i="109" s="1"/>
  <c r="Y8" i="110"/>
  <c r="D18" i="109" s="1"/>
  <c r="O8" i="110"/>
  <c r="K8" i="110"/>
  <c r="V7" i="110"/>
  <c r="M7" i="110" s="1"/>
  <c r="U7" i="110"/>
  <c r="O7" i="110"/>
  <c r="K7" i="110"/>
  <c r="G7" i="110"/>
  <c r="V6" i="110"/>
  <c r="U6" i="110"/>
  <c r="O6" i="110"/>
  <c r="M6" i="110"/>
  <c r="AF6" i="110" s="1"/>
  <c r="K6" i="110"/>
  <c r="G6" i="110"/>
  <c r="V5" i="110"/>
  <c r="O5" i="110"/>
  <c r="M5" i="110"/>
  <c r="K5" i="110"/>
  <c r="G5" i="110"/>
  <c r="H2" i="110"/>
  <c r="H1" i="110"/>
  <c r="F1" i="110"/>
  <c r="I3" i="109" s="1"/>
  <c r="D1" i="110"/>
  <c r="M22" i="109"/>
  <c r="L22" i="109"/>
  <c r="K22" i="109"/>
  <c r="J22" i="109"/>
  <c r="I22" i="109"/>
  <c r="H22" i="109"/>
  <c r="G22" i="109"/>
  <c r="F22" i="109"/>
  <c r="E22" i="109"/>
  <c r="D22" i="109"/>
  <c r="M21" i="109"/>
  <c r="L21" i="109"/>
  <c r="J21" i="109"/>
  <c r="H21" i="109"/>
  <c r="G21" i="109"/>
  <c r="F21" i="109"/>
  <c r="E21" i="109"/>
  <c r="D21" i="109"/>
  <c r="M20" i="109"/>
  <c r="L20" i="109"/>
  <c r="K20" i="109"/>
  <c r="J20" i="109"/>
  <c r="I20" i="109"/>
  <c r="H20" i="109"/>
  <c r="G20" i="109"/>
  <c r="F20" i="109"/>
  <c r="E20" i="109"/>
  <c r="D20" i="109"/>
  <c r="M19" i="109"/>
  <c r="L19" i="109"/>
  <c r="K19" i="109"/>
  <c r="J19" i="109"/>
  <c r="I19" i="109"/>
  <c r="H19" i="109"/>
  <c r="G19" i="109"/>
  <c r="F19" i="109"/>
  <c r="M18" i="109"/>
  <c r="L18" i="109"/>
  <c r="J18" i="109"/>
  <c r="H18" i="109"/>
  <c r="G18" i="109"/>
  <c r="F18" i="109"/>
  <c r="M17" i="109"/>
  <c r="L17" i="109"/>
  <c r="K17" i="109"/>
  <c r="J17" i="109"/>
  <c r="I17" i="109"/>
  <c r="H17" i="109"/>
  <c r="G17" i="109"/>
  <c r="F17" i="109"/>
  <c r="E17" i="109"/>
  <c r="D17" i="109"/>
  <c r="M16" i="109"/>
  <c r="L16" i="109"/>
  <c r="K16" i="109"/>
  <c r="J16" i="109"/>
  <c r="I16" i="109"/>
  <c r="H16" i="109"/>
  <c r="G16" i="109"/>
  <c r="F16" i="109"/>
  <c r="E16" i="109"/>
  <c r="D16" i="109"/>
  <c r="M13" i="109"/>
  <c r="L13" i="109"/>
  <c r="K13" i="109"/>
  <c r="I6" i="109" s="1"/>
  <c r="J13" i="109"/>
  <c r="I13" i="109"/>
  <c r="H13" i="109"/>
  <c r="G13" i="109"/>
  <c r="E13" i="109"/>
  <c r="D13" i="109"/>
  <c r="M6" i="109"/>
  <c r="F3" i="109"/>
  <c r="C3" i="109"/>
  <c r="E8" i="119" l="1"/>
  <c r="E7" i="117"/>
  <c r="F7" i="117"/>
  <c r="G7" i="117"/>
  <c r="F8" i="117"/>
  <c r="E8" i="117"/>
  <c r="G8" i="117"/>
  <c r="E15" i="113"/>
  <c r="F14" i="113"/>
  <c r="F15" i="113" s="1"/>
  <c r="Q20" i="114"/>
  <c r="R13" i="114" s="1"/>
  <c r="P20" i="114"/>
  <c r="K15" i="113"/>
  <c r="D2" i="114"/>
  <c r="Q28" i="114"/>
  <c r="R21" i="114" s="1"/>
  <c r="P28" i="114"/>
  <c r="M14" i="113"/>
  <c r="M15" i="113" s="1"/>
  <c r="Q65" i="114"/>
  <c r="R60" i="114" s="1"/>
  <c r="P65" i="114"/>
  <c r="Q53" i="112"/>
  <c r="P53" i="112"/>
  <c r="Q24" i="112"/>
  <c r="P24" i="112"/>
  <c r="Q27" i="112"/>
  <c r="P27" i="112"/>
  <c r="AF70" i="112"/>
  <c r="AG64" i="112" s="1"/>
  <c r="AE70" i="112"/>
  <c r="N70" i="112"/>
  <c r="Q56" i="112"/>
  <c r="P56" i="112"/>
  <c r="Q25" i="112"/>
  <c r="P25" i="112"/>
  <c r="Q11" i="112"/>
  <c r="P11" i="112"/>
  <c r="Q6" i="112"/>
  <c r="P6" i="112"/>
  <c r="P39" i="112"/>
  <c r="Q39" i="112"/>
  <c r="N63" i="112"/>
  <c r="AF63" i="112"/>
  <c r="AG58" i="112" s="1"/>
  <c r="AE63" i="112"/>
  <c r="Q42" i="112"/>
  <c r="P42" i="112"/>
  <c r="Q65" i="112"/>
  <c r="P65" i="112"/>
  <c r="Q13" i="112"/>
  <c r="P13" i="112"/>
  <c r="Q5" i="112"/>
  <c r="P5" i="112"/>
  <c r="Q16" i="112"/>
  <c r="P16" i="112"/>
  <c r="Q32" i="112"/>
  <c r="P32" i="112"/>
  <c r="AF49" i="112"/>
  <c r="AG45" i="112" s="1"/>
  <c r="AE49" i="112"/>
  <c r="N49" i="112"/>
  <c r="Q33" i="112"/>
  <c r="P33" i="112"/>
  <c r="Q50" i="112"/>
  <c r="P50" i="112"/>
  <c r="Q54" i="112"/>
  <c r="P54" i="112"/>
  <c r="N44" i="112"/>
  <c r="AF44" i="112"/>
  <c r="AG37" i="112" s="1"/>
  <c r="AE44" i="112"/>
  <c r="D2" i="112"/>
  <c r="Q8" i="112"/>
  <c r="R5" i="112" s="1"/>
  <c r="P8" i="112"/>
  <c r="D14" i="111"/>
  <c r="Q58" i="112"/>
  <c r="P58" i="112"/>
  <c r="Q46" i="112"/>
  <c r="P46" i="112"/>
  <c r="N36" i="112"/>
  <c r="AF36" i="112"/>
  <c r="AG29" i="112" s="1"/>
  <c r="AE36" i="112"/>
  <c r="N12" i="112"/>
  <c r="AF12" i="112"/>
  <c r="AG9" i="112" s="1"/>
  <c r="AE12" i="112"/>
  <c r="Q34" i="112"/>
  <c r="P34" i="112"/>
  <c r="Q26" i="112"/>
  <c r="P26" i="112"/>
  <c r="Q15" i="112"/>
  <c r="P15" i="112"/>
  <c r="Q40" i="112"/>
  <c r="P40" i="112"/>
  <c r="P60" i="112"/>
  <c r="Q60" i="112"/>
  <c r="Q51" i="112"/>
  <c r="P51" i="112"/>
  <c r="Q10" i="112"/>
  <c r="P10" i="112"/>
  <c r="Q37" i="112"/>
  <c r="P37" i="112"/>
  <c r="Q43" i="112"/>
  <c r="P43" i="112"/>
  <c r="Q31" i="112"/>
  <c r="P31" i="112"/>
  <c r="Q29" i="112"/>
  <c r="P29" i="112"/>
  <c r="Q59" i="112"/>
  <c r="P59" i="112"/>
  <c r="P18" i="112"/>
  <c r="Q18" i="112"/>
  <c r="Q48" i="112"/>
  <c r="P48" i="112"/>
  <c r="Q7" i="112"/>
  <c r="P7" i="112"/>
  <c r="Q19" i="112"/>
  <c r="P19" i="112"/>
  <c r="Q38" i="112"/>
  <c r="P38" i="112"/>
  <c r="Q23" i="112"/>
  <c r="P23" i="112"/>
  <c r="Q55" i="112"/>
  <c r="P55" i="112"/>
  <c r="Q9" i="112"/>
  <c r="P9" i="112"/>
  <c r="Q14" i="112"/>
  <c r="P14" i="112"/>
  <c r="Q35" i="112"/>
  <c r="P35" i="112"/>
  <c r="N57" i="112"/>
  <c r="AF57" i="112"/>
  <c r="AG50" i="112" s="1"/>
  <c r="AE57" i="112"/>
  <c r="Q52" i="112"/>
  <c r="P52" i="112"/>
  <c r="Q30" i="112"/>
  <c r="P30" i="112"/>
  <c r="Q61" i="112"/>
  <c r="P61" i="112"/>
  <c r="Q41" i="112"/>
  <c r="P41" i="112"/>
  <c r="Q28" i="112"/>
  <c r="R21" i="112" s="1"/>
  <c r="G14" i="111"/>
  <c r="G15" i="111" s="1"/>
  <c r="P28" i="112"/>
  <c r="N20" i="112"/>
  <c r="AF20" i="112"/>
  <c r="AG13" i="112" s="1"/>
  <c r="AE20" i="112"/>
  <c r="Q17" i="112"/>
  <c r="P17" i="112"/>
  <c r="Q62" i="112"/>
  <c r="P62" i="112"/>
  <c r="N17" i="110"/>
  <c r="AF17" i="110"/>
  <c r="AE17" i="110"/>
  <c r="AF7" i="110"/>
  <c r="AE7" i="110"/>
  <c r="N7" i="110"/>
  <c r="N20" i="110"/>
  <c r="AE20" i="110"/>
  <c r="AF20" i="110"/>
  <c r="N28" i="110"/>
  <c r="AF28" i="110"/>
  <c r="AE28" i="110"/>
  <c r="N41" i="110"/>
  <c r="AF41" i="110"/>
  <c r="AE41" i="110"/>
  <c r="Q47" i="110"/>
  <c r="P47" i="110"/>
  <c r="AF58" i="110"/>
  <c r="AE58" i="110"/>
  <c r="N58" i="110"/>
  <c r="N14" i="110"/>
  <c r="AF14" i="110"/>
  <c r="AE14" i="110"/>
  <c r="M21" i="110"/>
  <c r="N16" i="110"/>
  <c r="AF16" i="110"/>
  <c r="AE16" i="110"/>
  <c r="G6" i="109"/>
  <c r="E6" i="109"/>
  <c r="F6" i="109"/>
  <c r="N43" i="110"/>
  <c r="AF43" i="110"/>
  <c r="AE43" i="110"/>
  <c r="N56" i="110"/>
  <c r="AF56" i="110"/>
  <c r="AE56" i="110"/>
  <c r="M72" i="110"/>
  <c r="AF67" i="110"/>
  <c r="N67" i="110"/>
  <c r="AE67" i="110"/>
  <c r="N31" i="110"/>
  <c r="AF31" i="110"/>
  <c r="M38" i="110"/>
  <c r="AE31" i="110"/>
  <c r="Q42" i="110"/>
  <c r="P42" i="110"/>
  <c r="Q19" i="110"/>
  <c r="P19" i="110"/>
  <c r="N35" i="110"/>
  <c r="AF35" i="110"/>
  <c r="AE35" i="110"/>
  <c r="N37" i="110"/>
  <c r="AF37" i="110"/>
  <c r="AE37" i="110"/>
  <c r="N61" i="110"/>
  <c r="AF61" i="110"/>
  <c r="AE61" i="110"/>
  <c r="AF10" i="110"/>
  <c r="AE10" i="110"/>
  <c r="N10" i="110"/>
  <c r="AF12" i="110"/>
  <c r="AE12" i="110"/>
  <c r="N12" i="110"/>
  <c r="AF33" i="110"/>
  <c r="AE33" i="110"/>
  <c r="N33" i="110"/>
  <c r="AF45" i="110"/>
  <c r="N45" i="110"/>
  <c r="AE45" i="110"/>
  <c r="Q66" i="110"/>
  <c r="P66" i="110"/>
  <c r="Q68" i="110"/>
  <c r="P68" i="110"/>
  <c r="Q44" i="110"/>
  <c r="P44" i="110"/>
  <c r="Q70" i="110"/>
  <c r="P70" i="110"/>
  <c r="AF64" i="110"/>
  <c r="N64" i="110"/>
  <c r="AE64" i="110"/>
  <c r="N40" i="110"/>
  <c r="AF40" i="110"/>
  <c r="AE40" i="110"/>
  <c r="N62" i="110"/>
  <c r="AF62" i="110"/>
  <c r="AE62" i="110"/>
  <c r="N60" i="110"/>
  <c r="AF60" i="110"/>
  <c r="M65" i="110"/>
  <c r="AE60" i="110"/>
  <c r="Q63" i="110"/>
  <c r="P63" i="110"/>
  <c r="AF15" i="110"/>
  <c r="AE15" i="110"/>
  <c r="N15" i="110"/>
  <c r="N9" i="110"/>
  <c r="M13" i="110"/>
  <c r="AF9" i="110"/>
  <c r="AE9" i="110"/>
  <c r="N11" i="110"/>
  <c r="AF11" i="110"/>
  <c r="AE11" i="110"/>
  <c r="N34" i="110"/>
  <c r="AF34" i="110"/>
  <c r="AE34" i="110"/>
  <c r="N36" i="110"/>
  <c r="AF36" i="110"/>
  <c r="AE36" i="110"/>
  <c r="Q39" i="110"/>
  <c r="P39" i="110"/>
  <c r="M51" i="110"/>
  <c r="AF48" i="110"/>
  <c r="N48" i="110"/>
  <c r="AE48" i="110"/>
  <c r="M8" i="110"/>
  <c r="N18" i="110"/>
  <c r="AF18" i="110"/>
  <c r="AE18" i="110"/>
  <c r="AF26" i="110"/>
  <c r="AE26" i="110"/>
  <c r="N26" i="110"/>
  <c r="AF52" i="110"/>
  <c r="AE70" i="110"/>
  <c r="N5" i="110"/>
  <c r="N6" i="110"/>
  <c r="N29" i="110"/>
  <c r="N32" i="110"/>
  <c r="AE47" i="110"/>
  <c r="N57" i="110"/>
  <c r="AE66" i="110"/>
  <c r="AF68" i="110"/>
  <c r="AF70" i="110"/>
  <c r="N25" i="110"/>
  <c r="N27" i="110"/>
  <c r="N52" i="110"/>
  <c r="N55" i="110"/>
  <c r="N24" i="110"/>
  <c r="AE39" i="110"/>
  <c r="M46" i="110"/>
  <c r="N54" i="110"/>
  <c r="F2" i="110"/>
  <c r="N22" i="110"/>
  <c r="N23" i="110"/>
  <c r="AF39" i="110"/>
  <c r="N50" i="110"/>
  <c r="N53" i="110"/>
  <c r="N69" i="110"/>
  <c r="N71" i="110"/>
  <c r="Y2" i="110"/>
  <c r="K6" i="109" s="1"/>
  <c r="AE5" i="110"/>
  <c r="AE6" i="110"/>
  <c r="AE29" i="110"/>
  <c r="AE32" i="110"/>
  <c r="AE57" i="110"/>
  <c r="Z2" i="110"/>
  <c r="L6" i="109" s="1"/>
  <c r="AF5" i="110"/>
  <c r="P49" i="110"/>
  <c r="AE25" i="110"/>
  <c r="AE27" i="110"/>
  <c r="AE55" i="110"/>
  <c r="M59" i="110"/>
  <c r="AE24" i="110"/>
  <c r="M30" i="110"/>
  <c r="AE54" i="110"/>
  <c r="I7" i="113" l="1"/>
  <c r="I8" i="113"/>
  <c r="F7" i="113"/>
  <c r="E7" i="113"/>
  <c r="G7" i="113"/>
  <c r="F8" i="113"/>
  <c r="G8" i="113"/>
  <c r="E8" i="113"/>
  <c r="Q44" i="112"/>
  <c r="R37" i="112" s="1"/>
  <c r="P44" i="112"/>
  <c r="L14" i="111"/>
  <c r="L15" i="111" s="1"/>
  <c r="Q63" i="112"/>
  <c r="R58" i="112" s="1"/>
  <c r="P63" i="112"/>
  <c r="J14" i="111"/>
  <c r="J15" i="111" s="1"/>
  <c r="Q12" i="112"/>
  <c r="R9" i="112" s="1"/>
  <c r="E14" i="111"/>
  <c r="E15" i="111" s="1"/>
  <c r="P12" i="112"/>
  <c r="I14" i="111"/>
  <c r="I15" i="111" s="1"/>
  <c r="Q57" i="112"/>
  <c r="R50" i="112" s="1"/>
  <c r="P57" i="112"/>
  <c r="Q20" i="112"/>
  <c r="R13" i="112" s="1"/>
  <c r="P20" i="112"/>
  <c r="F14" i="111"/>
  <c r="F15" i="111" s="1"/>
  <c r="Q70" i="112"/>
  <c r="R64" i="112" s="1"/>
  <c r="P70" i="112"/>
  <c r="M14" i="111"/>
  <c r="M15" i="111" s="1"/>
  <c r="D15" i="111"/>
  <c r="Q36" i="112"/>
  <c r="R29" i="112" s="1"/>
  <c r="P36" i="112"/>
  <c r="K14" i="111"/>
  <c r="Q49" i="112"/>
  <c r="R45" i="112" s="1"/>
  <c r="P49" i="112"/>
  <c r="H14" i="111"/>
  <c r="H15" i="111" s="1"/>
  <c r="Q10" i="110"/>
  <c r="P10" i="110"/>
  <c r="N21" i="110"/>
  <c r="AF21" i="110"/>
  <c r="AG14" i="110" s="1"/>
  <c r="AE21" i="110"/>
  <c r="Q56" i="110"/>
  <c r="P56" i="110"/>
  <c r="Q28" i="110"/>
  <c r="P28" i="110"/>
  <c r="P15" i="110"/>
  <c r="Q15" i="110"/>
  <c r="Q40" i="110"/>
  <c r="P40" i="110"/>
  <c r="Q14" i="110"/>
  <c r="P14" i="110"/>
  <c r="P58" i="110"/>
  <c r="Q58" i="110"/>
  <c r="P62" i="110"/>
  <c r="Q62" i="110"/>
  <c r="Q23" i="110"/>
  <c r="P23" i="110"/>
  <c r="Q32" i="110"/>
  <c r="P32" i="110"/>
  <c r="Q64" i="110"/>
  <c r="P64" i="110"/>
  <c r="Q61" i="110"/>
  <c r="P61" i="110"/>
  <c r="N38" i="110"/>
  <c r="AF38" i="110"/>
  <c r="AG31" i="110" s="1"/>
  <c r="AE38" i="110"/>
  <c r="Q43" i="110"/>
  <c r="P43" i="110"/>
  <c r="Q20" i="110"/>
  <c r="P20" i="110"/>
  <c r="Q7" i="110"/>
  <c r="P7" i="110"/>
  <c r="Q9" i="110"/>
  <c r="P9" i="110"/>
  <c r="N8" i="110"/>
  <c r="AF8" i="110"/>
  <c r="AG5" i="110" s="1"/>
  <c r="AE8" i="110"/>
  <c r="N59" i="110"/>
  <c r="AF59" i="110"/>
  <c r="AG52" i="110" s="1"/>
  <c r="AE59" i="110"/>
  <c r="N65" i="110"/>
  <c r="AF65" i="110"/>
  <c r="AG60" i="110" s="1"/>
  <c r="AE65" i="110"/>
  <c r="Q31" i="110"/>
  <c r="P31" i="110"/>
  <c r="Q22" i="110"/>
  <c r="P22" i="110"/>
  <c r="Q36" i="110"/>
  <c r="P36" i="110"/>
  <c r="Q45" i="110"/>
  <c r="P45" i="110"/>
  <c r="P33" i="110"/>
  <c r="Q33" i="110"/>
  <c r="Q71" i="110"/>
  <c r="P71" i="110"/>
  <c r="Q55" i="110"/>
  <c r="P55" i="110"/>
  <c r="Q11" i="110"/>
  <c r="P11" i="110"/>
  <c r="Q37" i="110"/>
  <c r="P37" i="110"/>
  <c r="Q34" i="110"/>
  <c r="P34" i="110"/>
  <c r="Q29" i="110"/>
  <c r="P29" i="110"/>
  <c r="Q6" i="110"/>
  <c r="P6" i="110"/>
  <c r="Q69" i="110"/>
  <c r="P69" i="110"/>
  <c r="Q52" i="110"/>
  <c r="P52" i="110"/>
  <c r="AF51" i="110"/>
  <c r="AG47" i="110" s="1"/>
  <c r="AE51" i="110"/>
  <c r="N51" i="110"/>
  <c r="Q60" i="110"/>
  <c r="P60" i="110"/>
  <c r="P12" i="110"/>
  <c r="Q12" i="110"/>
  <c r="Q67" i="110"/>
  <c r="P67" i="110"/>
  <c r="P18" i="110"/>
  <c r="Q18" i="110"/>
  <c r="N46" i="110"/>
  <c r="AF46" i="110"/>
  <c r="AG39" i="110" s="1"/>
  <c r="AE46" i="110"/>
  <c r="Q48" i="110"/>
  <c r="P48" i="110"/>
  <c r="Q5" i="110"/>
  <c r="P5" i="110"/>
  <c r="Q53" i="110"/>
  <c r="P53" i="110"/>
  <c r="Q27" i="110"/>
  <c r="P27" i="110"/>
  <c r="Q57" i="110"/>
  <c r="P57" i="110"/>
  <c r="Q54" i="110"/>
  <c r="P54" i="110"/>
  <c r="N30" i="110"/>
  <c r="AF30" i="110"/>
  <c r="AG22" i="110" s="1"/>
  <c r="AE30" i="110"/>
  <c r="Q24" i="110"/>
  <c r="P24" i="110"/>
  <c r="Q50" i="110"/>
  <c r="P50" i="110"/>
  <c r="Q25" i="110"/>
  <c r="P25" i="110"/>
  <c r="Q26" i="110"/>
  <c r="P26" i="110"/>
  <c r="N13" i="110"/>
  <c r="AF13" i="110"/>
  <c r="AG9" i="110" s="1"/>
  <c r="AE13" i="110"/>
  <c r="Q35" i="110"/>
  <c r="P35" i="110"/>
  <c r="AF72" i="110"/>
  <c r="AG66" i="110" s="1"/>
  <c r="AE72" i="110"/>
  <c r="N72" i="110"/>
  <c r="Q16" i="110"/>
  <c r="P16" i="110"/>
  <c r="P41" i="110"/>
  <c r="Q41" i="110"/>
  <c r="Q17" i="110"/>
  <c r="P17" i="110"/>
  <c r="F7" i="111" l="1"/>
  <c r="G7" i="111"/>
  <c r="G8" i="111"/>
  <c r="F8" i="111"/>
  <c r="E7" i="111"/>
  <c r="K15" i="111"/>
  <c r="I8" i="111" s="1"/>
  <c r="I7" i="111"/>
  <c r="M14" i="109"/>
  <c r="M15" i="109" s="1"/>
  <c r="Q72" i="110"/>
  <c r="R66" i="110" s="1"/>
  <c r="P72" i="110"/>
  <c r="G14" i="109"/>
  <c r="G15" i="109" s="1"/>
  <c r="Q30" i="110"/>
  <c r="R22" i="110" s="1"/>
  <c r="P30" i="110"/>
  <c r="Q38" i="110"/>
  <c r="R31" i="110" s="1"/>
  <c r="P38" i="110"/>
  <c r="K14" i="109"/>
  <c r="E14" i="109"/>
  <c r="E15" i="109" s="1"/>
  <c r="Q13" i="110"/>
  <c r="R9" i="110" s="1"/>
  <c r="P13" i="110"/>
  <c r="L14" i="109"/>
  <c r="L15" i="109" s="1"/>
  <c r="Q46" i="110"/>
  <c r="R39" i="110" s="1"/>
  <c r="P46" i="110"/>
  <c r="D14" i="109"/>
  <c r="D2" i="110"/>
  <c r="Q8" i="110"/>
  <c r="R5" i="110" s="1"/>
  <c r="P8" i="110"/>
  <c r="F14" i="109"/>
  <c r="F15" i="109" s="1"/>
  <c r="Q21" i="110"/>
  <c r="R14" i="110" s="1"/>
  <c r="P21" i="110"/>
  <c r="Q65" i="110"/>
  <c r="R60" i="110" s="1"/>
  <c r="P65" i="110"/>
  <c r="J14" i="109"/>
  <c r="J15" i="109" s="1"/>
  <c r="Q59" i="110"/>
  <c r="R52" i="110" s="1"/>
  <c r="P59" i="110"/>
  <c r="I14" i="109"/>
  <c r="I15" i="109" s="1"/>
  <c r="H14" i="109"/>
  <c r="H15" i="109" s="1"/>
  <c r="Q51" i="110"/>
  <c r="R47" i="110" s="1"/>
  <c r="P51" i="110"/>
  <c r="E8" i="111" l="1"/>
  <c r="I7" i="109"/>
  <c r="K15" i="109"/>
  <c r="I8" i="109" s="1"/>
  <c r="G7" i="109"/>
  <c r="D15" i="109"/>
  <c r="F7" i="109"/>
  <c r="E7" i="109"/>
  <c r="G8" i="109" l="1"/>
  <c r="E8" i="109"/>
  <c r="F8" i="109"/>
  <c r="AD75" i="108" l="1"/>
  <c r="Z75" i="108"/>
  <c r="Y75" i="108"/>
  <c r="O75" i="108"/>
  <c r="K75" i="108"/>
  <c r="AF74" i="108"/>
  <c r="AE74" i="108"/>
  <c r="V74" i="108"/>
  <c r="U74" i="108"/>
  <c r="O74" i="108"/>
  <c r="N74" i="108"/>
  <c r="Q74" i="108" s="1"/>
  <c r="M74" i="108"/>
  <c r="K74" i="108"/>
  <c r="G74" i="108"/>
  <c r="AF73" i="108"/>
  <c r="AE73" i="108"/>
  <c r="V73" i="108"/>
  <c r="U73" i="108"/>
  <c r="O73" i="108"/>
  <c r="N73" i="108"/>
  <c r="Q73" i="108" s="1"/>
  <c r="M73" i="108"/>
  <c r="K73" i="108"/>
  <c r="G73" i="108"/>
  <c r="AF72" i="108"/>
  <c r="AE72" i="108"/>
  <c r="X72" i="108"/>
  <c r="W72" i="108"/>
  <c r="V72" i="108"/>
  <c r="U72" i="108"/>
  <c r="O72" i="108"/>
  <c r="N72" i="108"/>
  <c r="Q72" i="108" s="1"/>
  <c r="M72" i="108"/>
  <c r="K72" i="108"/>
  <c r="G72" i="108"/>
  <c r="AF71" i="108"/>
  <c r="AE71" i="108"/>
  <c r="V71" i="108"/>
  <c r="U71" i="108"/>
  <c r="O71" i="108"/>
  <c r="N71" i="108"/>
  <c r="Q71" i="108" s="1"/>
  <c r="M71" i="108"/>
  <c r="K71" i="108"/>
  <c r="G71" i="108"/>
  <c r="AE70" i="108"/>
  <c r="V70" i="108"/>
  <c r="U70" i="108"/>
  <c r="O70" i="108"/>
  <c r="M70" i="108"/>
  <c r="N70" i="108" s="1"/>
  <c r="K70" i="108"/>
  <c r="G70" i="108"/>
  <c r="AF69" i="108"/>
  <c r="AE69" i="108"/>
  <c r="V69" i="108"/>
  <c r="U69" i="108"/>
  <c r="O69" i="108"/>
  <c r="M69" i="108"/>
  <c r="N69" i="108" s="1"/>
  <c r="K69" i="108"/>
  <c r="G69" i="108"/>
  <c r="AF68" i="108"/>
  <c r="AE68" i="108"/>
  <c r="X68" i="108"/>
  <c r="W68" i="108"/>
  <c r="V68" i="108"/>
  <c r="O68" i="108"/>
  <c r="N68" i="108"/>
  <c r="Q68" i="108" s="1"/>
  <c r="M68" i="108"/>
  <c r="K68" i="108"/>
  <c r="G68" i="108"/>
  <c r="AF67" i="108"/>
  <c r="AG62" i="108" s="1"/>
  <c r="AE67" i="108"/>
  <c r="AD67" i="108"/>
  <c r="Z67" i="108"/>
  <c r="Y67" i="108"/>
  <c r="O67" i="108"/>
  <c r="N67" i="108"/>
  <c r="Q67" i="108" s="1"/>
  <c r="R62" i="108" s="1"/>
  <c r="M67" i="108"/>
  <c r="K67" i="108"/>
  <c r="AF66" i="108"/>
  <c r="AE66" i="108"/>
  <c r="V66" i="108"/>
  <c r="U66" i="108"/>
  <c r="O66" i="108"/>
  <c r="M66" i="108"/>
  <c r="N66" i="108" s="1"/>
  <c r="K66" i="108"/>
  <c r="G66" i="108"/>
  <c r="AF65" i="108"/>
  <c r="AE65" i="108"/>
  <c r="V65" i="108"/>
  <c r="U65" i="108"/>
  <c r="O65" i="108"/>
  <c r="M65" i="108"/>
  <c r="N65" i="108" s="1"/>
  <c r="K65" i="108"/>
  <c r="G65" i="108"/>
  <c r="AF64" i="108"/>
  <c r="AE64" i="108"/>
  <c r="V64" i="108"/>
  <c r="U64" i="108"/>
  <c r="Q64" i="108"/>
  <c r="P64" i="108"/>
  <c r="O64" i="108"/>
  <c r="N64" i="108"/>
  <c r="M64" i="108"/>
  <c r="K64" i="108"/>
  <c r="G64" i="108"/>
  <c r="AF63" i="108"/>
  <c r="AE63" i="108"/>
  <c r="V63" i="108"/>
  <c r="U63" i="108"/>
  <c r="O63" i="108"/>
  <c r="M63" i="108"/>
  <c r="N63" i="108" s="1"/>
  <c r="K63" i="108"/>
  <c r="G63" i="108"/>
  <c r="AF62" i="108"/>
  <c r="AE62" i="108"/>
  <c r="V62" i="108"/>
  <c r="O62" i="108"/>
  <c r="M62" i="108"/>
  <c r="N62" i="108" s="1"/>
  <c r="K62" i="108"/>
  <c r="G62" i="108"/>
  <c r="AD61" i="108"/>
  <c r="Z61" i="108"/>
  <c r="Y61" i="108"/>
  <c r="O61" i="108"/>
  <c r="K61" i="108"/>
  <c r="V60" i="108"/>
  <c r="M60" i="108" s="1"/>
  <c r="U60" i="108"/>
  <c r="O60" i="108"/>
  <c r="K60" i="108"/>
  <c r="G60" i="108"/>
  <c r="X59" i="108"/>
  <c r="W59" i="108"/>
  <c r="V59" i="108"/>
  <c r="M59" i="108" s="1"/>
  <c r="U59" i="108"/>
  <c r="O59" i="108"/>
  <c r="K59" i="108"/>
  <c r="G59" i="108"/>
  <c r="V58" i="108"/>
  <c r="M58" i="108" s="1"/>
  <c r="U58" i="108"/>
  <c r="O58" i="108"/>
  <c r="K58" i="108"/>
  <c r="G58" i="108"/>
  <c r="AF57" i="108"/>
  <c r="AE57" i="108"/>
  <c r="V57" i="108"/>
  <c r="U57" i="108"/>
  <c r="P57" i="108"/>
  <c r="O57" i="108"/>
  <c r="N57" i="108"/>
  <c r="Q57" i="108" s="1"/>
  <c r="M57" i="108"/>
  <c r="K57" i="108"/>
  <c r="G57" i="108"/>
  <c r="AF56" i="108"/>
  <c r="AE56" i="108"/>
  <c r="V56" i="108"/>
  <c r="U56" i="108"/>
  <c r="O56" i="108"/>
  <c r="N56" i="108"/>
  <c r="Q56" i="108" s="1"/>
  <c r="M56" i="108"/>
  <c r="K56" i="108"/>
  <c r="G56" i="108"/>
  <c r="AF55" i="108"/>
  <c r="AE55" i="108"/>
  <c r="V55" i="108"/>
  <c r="U55" i="108"/>
  <c r="Q55" i="108"/>
  <c r="P55" i="108"/>
  <c r="O55" i="108"/>
  <c r="N55" i="108"/>
  <c r="M55" i="108"/>
  <c r="K55" i="108"/>
  <c r="G55" i="108"/>
  <c r="AF54" i="108"/>
  <c r="AE54" i="108"/>
  <c r="V54" i="108"/>
  <c r="U54" i="108"/>
  <c r="O54" i="108"/>
  <c r="N54" i="108"/>
  <c r="Q54" i="108" s="1"/>
  <c r="M54" i="108"/>
  <c r="K54" i="108"/>
  <c r="G54" i="108"/>
  <c r="AF53" i="108"/>
  <c r="AE53" i="108"/>
  <c r="X53" i="108"/>
  <c r="W53" i="108"/>
  <c r="V53" i="108"/>
  <c r="O53" i="108"/>
  <c r="N53" i="108"/>
  <c r="Q53" i="108" s="1"/>
  <c r="M53" i="108"/>
  <c r="K53" i="108"/>
  <c r="G53" i="108"/>
  <c r="AD52" i="108"/>
  <c r="Z52" i="108"/>
  <c r="Y52" i="108"/>
  <c r="O52" i="108"/>
  <c r="K52" i="108"/>
  <c r="AF51" i="108"/>
  <c r="AE51" i="108"/>
  <c r="V51" i="108"/>
  <c r="U51" i="108"/>
  <c r="O51" i="108"/>
  <c r="N51" i="108"/>
  <c r="Q51" i="108" s="1"/>
  <c r="M51" i="108"/>
  <c r="K51" i="108"/>
  <c r="G51" i="108"/>
  <c r="AF50" i="108"/>
  <c r="AE50" i="108"/>
  <c r="V50" i="108"/>
  <c r="U50" i="108"/>
  <c r="O50" i="108"/>
  <c r="N50" i="108"/>
  <c r="Q50" i="108" s="1"/>
  <c r="M50" i="108"/>
  <c r="K50" i="108"/>
  <c r="G50" i="108"/>
  <c r="AE49" i="108"/>
  <c r="V49" i="108"/>
  <c r="U49" i="108"/>
  <c r="O49" i="108"/>
  <c r="M49" i="108"/>
  <c r="N49" i="108" s="1"/>
  <c r="K49" i="108"/>
  <c r="G49" i="108"/>
  <c r="AF48" i="108"/>
  <c r="AE48" i="108"/>
  <c r="X48" i="108"/>
  <c r="W48" i="108"/>
  <c r="V48" i="108"/>
  <c r="O48" i="108"/>
  <c r="N48" i="108"/>
  <c r="Q48" i="108" s="1"/>
  <c r="M48" i="108"/>
  <c r="K48" i="108"/>
  <c r="G48" i="108"/>
  <c r="AF47" i="108"/>
  <c r="AG39" i="108" s="1"/>
  <c r="AD47" i="108"/>
  <c r="Z47" i="108"/>
  <c r="Y47" i="108"/>
  <c r="O47" i="108"/>
  <c r="M47" i="108"/>
  <c r="N47" i="108" s="1"/>
  <c r="K47" i="108"/>
  <c r="AE46" i="108"/>
  <c r="V46" i="108"/>
  <c r="U46" i="108"/>
  <c r="O46" i="108"/>
  <c r="M46" i="108"/>
  <c r="N46" i="108" s="1"/>
  <c r="K46" i="108"/>
  <c r="G46" i="108"/>
  <c r="AF45" i="108"/>
  <c r="AE45" i="108"/>
  <c r="V45" i="108"/>
  <c r="U45" i="108"/>
  <c r="O45" i="108"/>
  <c r="M45" i="108"/>
  <c r="N45" i="108" s="1"/>
  <c r="K45" i="108"/>
  <c r="G45" i="108"/>
  <c r="AF44" i="108"/>
  <c r="AE44" i="108"/>
  <c r="V44" i="108"/>
  <c r="U44" i="108"/>
  <c r="O44" i="108"/>
  <c r="M44" i="108"/>
  <c r="N44" i="108" s="1"/>
  <c r="K44" i="108"/>
  <c r="G44" i="108"/>
  <c r="AF43" i="108"/>
  <c r="AE43" i="108"/>
  <c r="X43" i="108"/>
  <c r="W43" i="108"/>
  <c r="V43" i="108"/>
  <c r="U43" i="108"/>
  <c r="O43" i="108"/>
  <c r="M43" i="108"/>
  <c r="N43" i="108" s="1"/>
  <c r="K43" i="108"/>
  <c r="G43" i="108"/>
  <c r="AF42" i="108"/>
  <c r="AE42" i="108"/>
  <c r="V42" i="108"/>
  <c r="U42" i="108"/>
  <c r="O42" i="108"/>
  <c r="M42" i="108"/>
  <c r="N42" i="108" s="1"/>
  <c r="K42" i="108"/>
  <c r="G42" i="108"/>
  <c r="AF41" i="108"/>
  <c r="AE41" i="108"/>
  <c r="V41" i="108"/>
  <c r="U41" i="108"/>
  <c r="Q41" i="108"/>
  <c r="P41" i="108"/>
  <c r="O41" i="108"/>
  <c r="N41" i="108"/>
  <c r="M41" i="108"/>
  <c r="K41" i="108"/>
  <c r="G41" i="108"/>
  <c r="AF40" i="108"/>
  <c r="AE40" i="108"/>
  <c r="V40" i="108"/>
  <c r="U40" i="108"/>
  <c r="O40" i="108"/>
  <c r="M40" i="108"/>
  <c r="N40" i="108" s="1"/>
  <c r="K40" i="108"/>
  <c r="G40" i="108"/>
  <c r="AF39" i="108"/>
  <c r="AE39" i="108"/>
  <c r="X39" i="108"/>
  <c r="W39" i="108"/>
  <c r="V39" i="108"/>
  <c r="O39" i="108"/>
  <c r="M39" i="108"/>
  <c r="N39" i="108" s="1"/>
  <c r="K39" i="108"/>
  <c r="G39" i="108"/>
  <c r="AD38" i="108"/>
  <c r="Z38" i="108"/>
  <c r="Y38" i="108"/>
  <c r="O38" i="108"/>
  <c r="K38" i="108"/>
  <c r="AF37" i="108"/>
  <c r="AE37" i="108"/>
  <c r="V37" i="108"/>
  <c r="U37" i="108"/>
  <c r="O37" i="108"/>
  <c r="M37" i="108"/>
  <c r="N37" i="108" s="1"/>
  <c r="K37" i="108"/>
  <c r="G37" i="108"/>
  <c r="V36" i="108"/>
  <c r="M36" i="108" s="1"/>
  <c r="U36" i="108"/>
  <c r="O36" i="108"/>
  <c r="K36" i="108"/>
  <c r="G36" i="108"/>
  <c r="V35" i="108"/>
  <c r="M35" i="108" s="1"/>
  <c r="U35" i="108"/>
  <c r="O35" i="108"/>
  <c r="K35" i="108"/>
  <c r="G35" i="108"/>
  <c r="X34" i="108"/>
  <c r="W34" i="108"/>
  <c r="V34" i="108"/>
  <c r="M34" i="108" s="1"/>
  <c r="U34" i="108"/>
  <c r="O34" i="108"/>
  <c r="K34" i="108"/>
  <c r="G34" i="108"/>
  <c r="V33" i="108"/>
  <c r="M33" i="108" s="1"/>
  <c r="U33" i="108"/>
  <c r="O33" i="108"/>
  <c r="K33" i="108"/>
  <c r="G33" i="108"/>
  <c r="AF32" i="108"/>
  <c r="AE32" i="108"/>
  <c r="V32" i="108"/>
  <c r="U32" i="108"/>
  <c r="P32" i="108"/>
  <c r="O32" i="108"/>
  <c r="N32" i="108"/>
  <c r="Q32" i="108" s="1"/>
  <c r="M32" i="108"/>
  <c r="K32" i="108"/>
  <c r="G32" i="108"/>
  <c r="AF31" i="108"/>
  <c r="AE31" i="108"/>
  <c r="V31" i="108"/>
  <c r="U31" i="108"/>
  <c r="O31" i="108"/>
  <c r="N31" i="108"/>
  <c r="Q31" i="108" s="1"/>
  <c r="M31" i="108"/>
  <c r="K31" i="108"/>
  <c r="G31" i="108"/>
  <c r="X30" i="108"/>
  <c r="W30" i="108"/>
  <c r="V30" i="108"/>
  <c r="M30" i="108" s="1"/>
  <c r="O30" i="108"/>
  <c r="K30" i="108"/>
  <c r="G30" i="108"/>
  <c r="AD29" i="108"/>
  <c r="Z29" i="108"/>
  <c r="Y29" i="108"/>
  <c r="Y2" i="108" s="1"/>
  <c r="K6" i="107" s="1"/>
  <c r="O29" i="108"/>
  <c r="K29" i="108"/>
  <c r="AF28" i="108"/>
  <c r="AE28" i="108"/>
  <c r="V28" i="108"/>
  <c r="U28" i="108"/>
  <c r="O28" i="108"/>
  <c r="N28" i="108"/>
  <c r="Q28" i="108" s="1"/>
  <c r="M28" i="108"/>
  <c r="K28" i="108"/>
  <c r="G28" i="108"/>
  <c r="AF27" i="108"/>
  <c r="AE27" i="108"/>
  <c r="V27" i="108"/>
  <c r="U27" i="108"/>
  <c r="Q27" i="108"/>
  <c r="P27" i="108"/>
  <c r="O27" i="108"/>
  <c r="N27" i="108"/>
  <c r="M27" i="108"/>
  <c r="K27" i="108"/>
  <c r="G27" i="108"/>
  <c r="AF26" i="108"/>
  <c r="AE26" i="108"/>
  <c r="V26" i="108"/>
  <c r="U26" i="108"/>
  <c r="O26" i="108"/>
  <c r="N26" i="108"/>
  <c r="Q26" i="108" s="1"/>
  <c r="M26" i="108"/>
  <c r="K26" i="108"/>
  <c r="G26" i="108"/>
  <c r="AF25" i="108"/>
  <c r="AE25" i="108"/>
  <c r="V25" i="108"/>
  <c r="U25" i="108"/>
  <c r="O25" i="108"/>
  <c r="N25" i="108"/>
  <c r="Q25" i="108" s="1"/>
  <c r="M25" i="108"/>
  <c r="K25" i="108"/>
  <c r="G25" i="108"/>
  <c r="AE24" i="108"/>
  <c r="V24" i="108"/>
  <c r="U24" i="108"/>
  <c r="O24" i="108"/>
  <c r="M24" i="108"/>
  <c r="N24" i="108" s="1"/>
  <c r="K24" i="108"/>
  <c r="G24" i="108"/>
  <c r="AE23" i="108"/>
  <c r="V23" i="108"/>
  <c r="O23" i="108"/>
  <c r="M23" i="108"/>
  <c r="N23" i="108" s="1"/>
  <c r="K23" i="108"/>
  <c r="G23" i="108"/>
  <c r="AD22" i="108"/>
  <c r="Z22" i="108"/>
  <c r="Y22" i="108"/>
  <c r="O22" i="108"/>
  <c r="K22" i="108"/>
  <c r="AF21" i="108"/>
  <c r="AE21" i="108"/>
  <c r="V21" i="108"/>
  <c r="U21" i="108"/>
  <c r="O21" i="108"/>
  <c r="M21" i="108"/>
  <c r="N21" i="108" s="1"/>
  <c r="K21" i="108"/>
  <c r="G21" i="108"/>
  <c r="AF20" i="108"/>
  <c r="AE20" i="108"/>
  <c r="V20" i="108"/>
  <c r="U20" i="108"/>
  <c r="Q20" i="108"/>
  <c r="P20" i="108"/>
  <c r="O20" i="108"/>
  <c r="N20" i="108"/>
  <c r="M20" i="108"/>
  <c r="K20" i="108"/>
  <c r="G20" i="108"/>
  <c r="AF19" i="108"/>
  <c r="AE19" i="108"/>
  <c r="V19" i="108"/>
  <c r="U19" i="108"/>
  <c r="O19" i="108"/>
  <c r="M19" i="108"/>
  <c r="N19" i="108" s="1"/>
  <c r="K19" i="108"/>
  <c r="G19" i="108"/>
  <c r="V18" i="108"/>
  <c r="M18" i="108" s="1"/>
  <c r="U18" i="108"/>
  <c r="O18" i="108"/>
  <c r="K18" i="108"/>
  <c r="G18" i="108"/>
  <c r="V17" i="108"/>
  <c r="M17" i="108" s="1"/>
  <c r="U17" i="108"/>
  <c r="O17" i="108"/>
  <c r="K17" i="108"/>
  <c r="G17" i="108"/>
  <c r="AF16" i="108"/>
  <c r="AE16" i="108"/>
  <c r="V16" i="108"/>
  <c r="U16" i="108"/>
  <c r="P16" i="108"/>
  <c r="O16" i="108"/>
  <c r="N16" i="108"/>
  <c r="Q16" i="108" s="1"/>
  <c r="M16" i="108"/>
  <c r="K16" i="108"/>
  <c r="G16" i="108"/>
  <c r="X15" i="108"/>
  <c r="W15" i="108"/>
  <c r="V15" i="108"/>
  <c r="M15" i="108" s="1"/>
  <c r="O15" i="108"/>
  <c r="K15" i="108"/>
  <c r="G15" i="108"/>
  <c r="AD14" i="108"/>
  <c r="E21" i="107" s="1"/>
  <c r="Z14" i="108"/>
  <c r="Y14" i="108"/>
  <c r="O14" i="108"/>
  <c r="K14" i="108"/>
  <c r="AF13" i="108"/>
  <c r="AE13" i="108"/>
  <c r="V13" i="108"/>
  <c r="U13" i="108"/>
  <c r="P13" i="108"/>
  <c r="O13" i="108"/>
  <c r="N13" i="108"/>
  <c r="Q13" i="108" s="1"/>
  <c r="M13" i="108"/>
  <c r="K13" i="108"/>
  <c r="G13" i="108"/>
  <c r="X12" i="108"/>
  <c r="W12" i="108"/>
  <c r="V12" i="108"/>
  <c r="M12" i="108" s="1"/>
  <c r="U12" i="108"/>
  <c r="O12" i="108"/>
  <c r="K12" i="108"/>
  <c r="G12" i="108"/>
  <c r="AF11" i="108"/>
  <c r="AE11" i="108"/>
  <c r="V11" i="108"/>
  <c r="U11" i="108"/>
  <c r="P11" i="108"/>
  <c r="O11" i="108"/>
  <c r="N11" i="108"/>
  <c r="Q11" i="108" s="1"/>
  <c r="M11" i="108"/>
  <c r="K11" i="108"/>
  <c r="G11" i="108"/>
  <c r="X10" i="108"/>
  <c r="W10" i="108"/>
  <c r="V10" i="108"/>
  <c r="M10" i="108" s="1"/>
  <c r="O10" i="108"/>
  <c r="K10" i="108"/>
  <c r="G10" i="108"/>
  <c r="AD9" i="108"/>
  <c r="AD2" i="108" s="1"/>
  <c r="N6" i="107" s="1"/>
  <c r="Z9" i="108"/>
  <c r="Z2" i="108" s="1"/>
  <c r="L6" i="107" s="1"/>
  <c r="Y9" i="108"/>
  <c r="O9" i="108"/>
  <c r="K9" i="108"/>
  <c r="AF8" i="108"/>
  <c r="AE8" i="108"/>
  <c r="V8" i="108"/>
  <c r="U8" i="108"/>
  <c r="P8" i="108"/>
  <c r="O8" i="108"/>
  <c r="N8" i="108"/>
  <c r="Q8" i="108" s="1"/>
  <c r="M8" i="108"/>
  <c r="K8" i="108"/>
  <c r="G8" i="108"/>
  <c r="X7" i="108"/>
  <c r="W7" i="108"/>
  <c r="V7" i="108"/>
  <c r="M7" i="108" s="1"/>
  <c r="U7" i="108"/>
  <c r="O7" i="108"/>
  <c r="K7" i="108"/>
  <c r="G7" i="108"/>
  <c r="AF6" i="108"/>
  <c r="AE6" i="108"/>
  <c r="V6" i="108"/>
  <c r="U6" i="108"/>
  <c r="P6" i="108"/>
  <c r="O6" i="108"/>
  <c r="N6" i="108"/>
  <c r="Q6" i="108" s="1"/>
  <c r="M6" i="108"/>
  <c r="K6" i="108"/>
  <c r="G6" i="108"/>
  <c r="AF5" i="108"/>
  <c r="AE5" i="108"/>
  <c r="V5" i="108"/>
  <c r="P5" i="108"/>
  <c r="O5" i="108"/>
  <c r="N5" i="108"/>
  <c r="Q5" i="108" s="1"/>
  <c r="M5" i="108"/>
  <c r="K5" i="108"/>
  <c r="G5" i="108"/>
  <c r="H2" i="108"/>
  <c r="H1" i="108"/>
  <c r="F1" i="108"/>
  <c r="I3" i="107" s="1"/>
  <c r="D1" i="108"/>
  <c r="M22" i="107"/>
  <c r="L22" i="107"/>
  <c r="K22" i="107"/>
  <c r="J22" i="107"/>
  <c r="I22" i="107"/>
  <c r="H22" i="107"/>
  <c r="G22" i="107"/>
  <c r="F22" i="107"/>
  <c r="E22" i="107"/>
  <c r="D22" i="107"/>
  <c r="M21" i="107"/>
  <c r="L21" i="107"/>
  <c r="K21" i="107"/>
  <c r="J21" i="107"/>
  <c r="I21" i="107"/>
  <c r="H21" i="107"/>
  <c r="G21" i="107"/>
  <c r="F21" i="107"/>
  <c r="D21" i="107"/>
  <c r="M20" i="107"/>
  <c r="L20" i="107"/>
  <c r="K20" i="107"/>
  <c r="J20" i="107"/>
  <c r="I20" i="107"/>
  <c r="H20" i="107"/>
  <c r="G20" i="107"/>
  <c r="F20" i="107"/>
  <c r="E20" i="107"/>
  <c r="D20" i="107"/>
  <c r="M19" i="107"/>
  <c r="L19" i="107"/>
  <c r="K19" i="107"/>
  <c r="J19" i="107"/>
  <c r="I19" i="107"/>
  <c r="H19" i="107"/>
  <c r="G19" i="107"/>
  <c r="F19" i="107"/>
  <c r="E19" i="107"/>
  <c r="D19" i="107"/>
  <c r="M18" i="107"/>
  <c r="L18" i="107"/>
  <c r="K18" i="107"/>
  <c r="J18" i="107"/>
  <c r="I18" i="107"/>
  <c r="H18" i="107"/>
  <c r="G18" i="107"/>
  <c r="F18" i="107"/>
  <c r="E18" i="107"/>
  <c r="D18" i="107"/>
  <c r="M17" i="107"/>
  <c r="L17" i="107"/>
  <c r="K17" i="107"/>
  <c r="J17" i="107"/>
  <c r="I17" i="107"/>
  <c r="H17" i="107"/>
  <c r="G17" i="107"/>
  <c r="F17" i="107"/>
  <c r="E17" i="107"/>
  <c r="D17" i="107"/>
  <c r="M16" i="107"/>
  <c r="L16" i="107"/>
  <c r="K16" i="107"/>
  <c r="J16" i="107"/>
  <c r="I16" i="107"/>
  <c r="H16" i="107"/>
  <c r="G16" i="107"/>
  <c r="F16" i="107"/>
  <c r="E16" i="107"/>
  <c r="D16" i="107"/>
  <c r="J14" i="107"/>
  <c r="J15" i="107" s="1"/>
  <c r="M13" i="107"/>
  <c r="L13" i="107"/>
  <c r="K13" i="107"/>
  <c r="I6" i="107" s="1"/>
  <c r="J13" i="107"/>
  <c r="I13" i="107"/>
  <c r="H13" i="107"/>
  <c r="G13" i="107"/>
  <c r="F13" i="107"/>
  <c r="G6" i="107" s="1"/>
  <c r="E13" i="107"/>
  <c r="D13" i="107"/>
  <c r="M6" i="107"/>
  <c r="F3" i="107"/>
  <c r="C3" i="107"/>
  <c r="P42" i="108" l="1"/>
  <c r="Q42" i="108"/>
  <c r="Q23" i="108"/>
  <c r="P23" i="108"/>
  <c r="AF59" i="108"/>
  <c r="AE59" i="108"/>
  <c r="N59" i="108"/>
  <c r="Q45" i="108"/>
  <c r="P45" i="108"/>
  <c r="Q62" i="108"/>
  <c r="P62" i="108"/>
  <c r="AF34" i="108"/>
  <c r="AE34" i="108"/>
  <c r="N34" i="108"/>
  <c r="Q40" i="108"/>
  <c r="P40" i="108"/>
  <c r="P65" i="108"/>
  <c r="Q65" i="108"/>
  <c r="P44" i="108"/>
  <c r="Q44" i="108"/>
  <c r="Q37" i="108"/>
  <c r="P37" i="108"/>
  <c r="M61" i="108"/>
  <c r="AF58" i="108"/>
  <c r="AE58" i="108"/>
  <c r="N58" i="108"/>
  <c r="AF60" i="108"/>
  <c r="AE60" i="108"/>
  <c r="N60" i="108"/>
  <c r="AE18" i="108"/>
  <c r="AF18" i="108"/>
  <c r="N18" i="108"/>
  <c r="AF15" i="108"/>
  <c r="AE15" i="108"/>
  <c r="M22" i="108"/>
  <c r="N15" i="108"/>
  <c r="M9" i="108"/>
  <c r="AF7" i="108"/>
  <c r="AE7" i="108"/>
  <c r="N7" i="108"/>
  <c r="Q19" i="108"/>
  <c r="P19" i="108"/>
  <c r="AE36" i="108"/>
  <c r="AF36" i="108"/>
  <c r="N36" i="108"/>
  <c r="Q47" i="108"/>
  <c r="R39" i="108" s="1"/>
  <c r="P47" i="108"/>
  <c r="L14" i="107"/>
  <c r="L15" i="107" s="1"/>
  <c r="Q69" i="108"/>
  <c r="P69" i="108"/>
  <c r="AF12" i="108"/>
  <c r="AE12" i="108"/>
  <c r="N12" i="108"/>
  <c r="Q24" i="108"/>
  <c r="P24" i="108"/>
  <c r="AF17" i="108"/>
  <c r="AE17" i="108"/>
  <c r="N17" i="108"/>
  <c r="P39" i="108"/>
  <c r="Q39" i="108"/>
  <c r="Q43" i="108"/>
  <c r="P43" i="108"/>
  <c r="AF30" i="108"/>
  <c r="AE30" i="108"/>
  <c r="M38" i="108"/>
  <c r="N30" i="108"/>
  <c r="Q70" i="108"/>
  <c r="P70" i="108"/>
  <c r="M14" i="108"/>
  <c r="AF10" i="108"/>
  <c r="AE10" i="108"/>
  <c r="N10" i="108"/>
  <c r="Q66" i="108"/>
  <c r="P66" i="108"/>
  <c r="Q46" i="108"/>
  <c r="P46" i="108"/>
  <c r="Q49" i="108"/>
  <c r="P49" i="108"/>
  <c r="Q63" i="108"/>
  <c r="P63" i="108"/>
  <c r="P21" i="108"/>
  <c r="Q21" i="108"/>
  <c r="AF33" i="108"/>
  <c r="AE33" i="108"/>
  <c r="N33" i="108"/>
  <c r="AF35" i="108"/>
  <c r="AE35" i="108"/>
  <c r="N35" i="108"/>
  <c r="M29" i="108"/>
  <c r="AE47" i="108"/>
  <c r="AF23" i="108"/>
  <c r="AF24" i="108"/>
  <c r="AF46" i="108"/>
  <c r="AF49" i="108"/>
  <c r="M52" i="108"/>
  <c r="AF70" i="108"/>
  <c r="M75" i="108"/>
  <c r="P28" i="108"/>
  <c r="P31" i="108"/>
  <c r="P53" i="108"/>
  <c r="P56" i="108"/>
  <c r="F2" i="108"/>
  <c r="P26" i="108"/>
  <c r="P48" i="108"/>
  <c r="P51" i="108"/>
  <c r="P54" i="108"/>
  <c r="P72" i="108"/>
  <c r="P74" i="108"/>
  <c r="E6" i="107"/>
  <c r="F6" i="107"/>
  <c r="P25" i="108"/>
  <c r="P50" i="108"/>
  <c r="P67" i="108"/>
  <c r="P68" i="108"/>
  <c r="P71" i="108"/>
  <c r="P73" i="108"/>
  <c r="AD78" i="106"/>
  <c r="Z78" i="106"/>
  <c r="Y78" i="106"/>
  <c r="O78" i="106"/>
  <c r="K78" i="106"/>
  <c r="AF77" i="106"/>
  <c r="AE77" i="106"/>
  <c r="V77" i="106"/>
  <c r="U77" i="106"/>
  <c r="Q77" i="106"/>
  <c r="P77" i="106"/>
  <c r="O77" i="106"/>
  <c r="N77" i="106"/>
  <c r="M77" i="106"/>
  <c r="K77" i="106"/>
  <c r="G77" i="106"/>
  <c r="AF76" i="106"/>
  <c r="AE76" i="106"/>
  <c r="V76" i="106"/>
  <c r="U76" i="106"/>
  <c r="Q76" i="106"/>
  <c r="P76" i="106"/>
  <c r="O76" i="106"/>
  <c r="N76" i="106"/>
  <c r="M76" i="106"/>
  <c r="K76" i="106"/>
  <c r="G76" i="106"/>
  <c r="V75" i="106"/>
  <c r="U75" i="106"/>
  <c r="O75" i="106"/>
  <c r="M75" i="106"/>
  <c r="N75" i="106" s="1"/>
  <c r="K75" i="106"/>
  <c r="G75" i="106"/>
  <c r="AF74" i="106"/>
  <c r="AE74" i="106"/>
  <c r="V74" i="106"/>
  <c r="U74" i="106"/>
  <c r="O74" i="106"/>
  <c r="N74" i="106"/>
  <c r="Q74" i="106" s="1"/>
  <c r="M74" i="106"/>
  <c r="K74" i="106"/>
  <c r="G74" i="106"/>
  <c r="AF73" i="106"/>
  <c r="AE73" i="106"/>
  <c r="X73" i="106"/>
  <c r="W73" i="106"/>
  <c r="V73" i="106"/>
  <c r="U73" i="106"/>
  <c r="O73" i="106"/>
  <c r="M73" i="106"/>
  <c r="N73" i="106" s="1"/>
  <c r="K73" i="106"/>
  <c r="G73" i="106"/>
  <c r="AF72" i="106"/>
  <c r="AE72" i="106"/>
  <c r="V72" i="106"/>
  <c r="U72" i="106"/>
  <c r="O72" i="106"/>
  <c r="N72" i="106"/>
  <c r="Q72" i="106" s="1"/>
  <c r="M72" i="106"/>
  <c r="K72" i="106"/>
  <c r="G72" i="106"/>
  <c r="AF71" i="106"/>
  <c r="AE71" i="106"/>
  <c r="V71" i="106"/>
  <c r="U71" i="106"/>
  <c r="O71" i="106"/>
  <c r="M71" i="106"/>
  <c r="N71" i="106" s="1"/>
  <c r="K71" i="106"/>
  <c r="G71" i="106"/>
  <c r="AF70" i="106"/>
  <c r="AE70" i="106"/>
  <c r="V70" i="106"/>
  <c r="U70" i="106"/>
  <c r="Q70" i="106"/>
  <c r="P70" i="106"/>
  <c r="O70" i="106"/>
  <c r="N70" i="106"/>
  <c r="M70" i="106"/>
  <c r="K70" i="106"/>
  <c r="G70" i="106"/>
  <c r="AF69" i="106"/>
  <c r="AE69" i="106"/>
  <c r="X69" i="106"/>
  <c r="W69" i="106"/>
  <c r="V69" i="106"/>
  <c r="O69" i="106"/>
  <c r="N69" i="106"/>
  <c r="Q69" i="106" s="1"/>
  <c r="M69" i="106"/>
  <c r="M78" i="106" s="1"/>
  <c r="K69" i="106"/>
  <c r="G69" i="106"/>
  <c r="AF68" i="106"/>
  <c r="AG63" i="106" s="1"/>
  <c r="AE68" i="106"/>
  <c r="AD68" i="106"/>
  <c r="Z68" i="106"/>
  <c r="Y68" i="106"/>
  <c r="O68" i="106"/>
  <c r="N68" i="106"/>
  <c r="Q68" i="106" s="1"/>
  <c r="R63" i="106" s="1"/>
  <c r="M68" i="106"/>
  <c r="K68" i="106"/>
  <c r="AF67" i="106"/>
  <c r="AE67" i="106"/>
  <c r="V67" i="106"/>
  <c r="U67" i="106"/>
  <c r="Q67" i="106"/>
  <c r="P67" i="106"/>
  <c r="O67" i="106"/>
  <c r="N67" i="106"/>
  <c r="M67" i="106"/>
  <c r="K67" i="106"/>
  <c r="G67" i="106"/>
  <c r="AF66" i="106"/>
  <c r="AE66" i="106"/>
  <c r="V66" i="106"/>
  <c r="U66" i="106"/>
  <c r="Q66" i="106"/>
  <c r="P66" i="106"/>
  <c r="O66" i="106"/>
  <c r="N66" i="106"/>
  <c r="M66" i="106"/>
  <c r="K66" i="106"/>
  <c r="G66" i="106"/>
  <c r="AF65" i="106"/>
  <c r="AE65" i="106"/>
  <c r="V65" i="106"/>
  <c r="U65" i="106"/>
  <c r="Q65" i="106"/>
  <c r="P65" i="106"/>
  <c r="O65" i="106"/>
  <c r="N65" i="106"/>
  <c r="M65" i="106"/>
  <c r="K65" i="106"/>
  <c r="G65" i="106"/>
  <c r="AF64" i="106"/>
  <c r="AE64" i="106"/>
  <c r="V64" i="106"/>
  <c r="U64" i="106"/>
  <c r="Q64" i="106"/>
  <c r="P64" i="106"/>
  <c r="O64" i="106"/>
  <c r="N64" i="106"/>
  <c r="M64" i="106"/>
  <c r="K64" i="106"/>
  <c r="G64" i="106"/>
  <c r="AF63" i="106"/>
  <c r="AE63" i="106"/>
  <c r="V63" i="106"/>
  <c r="Q63" i="106"/>
  <c r="P63" i="106"/>
  <c r="O63" i="106"/>
  <c r="N63" i="106"/>
  <c r="M63" i="106"/>
  <c r="K63" i="106"/>
  <c r="G63" i="106"/>
  <c r="AD62" i="106"/>
  <c r="Z62" i="106"/>
  <c r="Y62" i="106"/>
  <c r="O62" i="106"/>
  <c r="M62" i="106"/>
  <c r="AF62" i="106" s="1"/>
  <c r="AG54" i="106" s="1"/>
  <c r="K62" i="106"/>
  <c r="AF61" i="106"/>
  <c r="AE61" i="106"/>
  <c r="V61" i="106"/>
  <c r="U61" i="106"/>
  <c r="O61" i="106"/>
  <c r="N61" i="106"/>
  <c r="P61" i="106" s="1"/>
  <c r="M61" i="106"/>
  <c r="K61" i="106"/>
  <c r="G61" i="106"/>
  <c r="AF60" i="106"/>
  <c r="AE60" i="106"/>
  <c r="X60" i="106"/>
  <c r="W60" i="106"/>
  <c r="V60" i="106"/>
  <c r="U60" i="106"/>
  <c r="Q60" i="106"/>
  <c r="P60" i="106"/>
  <c r="O60" i="106"/>
  <c r="N60" i="106"/>
  <c r="M60" i="106"/>
  <c r="K60" i="106"/>
  <c r="G60" i="106"/>
  <c r="AF59" i="106"/>
  <c r="AE59" i="106"/>
  <c r="V59" i="106"/>
  <c r="U59" i="106"/>
  <c r="O59" i="106"/>
  <c r="N59" i="106"/>
  <c r="P59" i="106" s="1"/>
  <c r="M59" i="106"/>
  <c r="K59" i="106"/>
  <c r="G59" i="106"/>
  <c r="AF58" i="106"/>
  <c r="AE58" i="106"/>
  <c r="V58" i="106"/>
  <c r="U58" i="106"/>
  <c r="O58" i="106"/>
  <c r="N58" i="106"/>
  <c r="Q58" i="106" s="1"/>
  <c r="M58" i="106"/>
  <c r="K58" i="106"/>
  <c r="G58" i="106"/>
  <c r="AF57" i="106"/>
  <c r="AE57" i="106"/>
  <c r="V57" i="106"/>
  <c r="U57" i="106"/>
  <c r="Q57" i="106"/>
  <c r="P57" i="106"/>
  <c r="O57" i="106"/>
  <c r="N57" i="106"/>
  <c r="M57" i="106"/>
  <c r="K57" i="106"/>
  <c r="G57" i="106"/>
  <c r="AF56" i="106"/>
  <c r="AE56" i="106"/>
  <c r="V56" i="106"/>
  <c r="U56" i="106"/>
  <c r="Q56" i="106"/>
  <c r="P56" i="106"/>
  <c r="O56" i="106"/>
  <c r="N56" i="106"/>
  <c r="M56" i="106"/>
  <c r="K56" i="106"/>
  <c r="G56" i="106"/>
  <c r="V55" i="106"/>
  <c r="U55" i="106"/>
  <c r="O55" i="106"/>
  <c r="M55" i="106"/>
  <c r="N55" i="106" s="1"/>
  <c r="K55" i="106"/>
  <c r="G55" i="106"/>
  <c r="AF54" i="106"/>
  <c r="AE54" i="106"/>
  <c r="X54" i="106"/>
  <c r="W54" i="106"/>
  <c r="V54" i="106"/>
  <c r="Q54" i="106"/>
  <c r="P54" i="106"/>
  <c r="O54" i="106"/>
  <c r="N54" i="106"/>
  <c r="M54" i="106"/>
  <c r="K54" i="106"/>
  <c r="G54" i="106"/>
  <c r="AD53" i="106"/>
  <c r="Z53" i="106"/>
  <c r="Y53" i="106"/>
  <c r="O53" i="106"/>
  <c r="M53" i="106"/>
  <c r="N53" i="106" s="1"/>
  <c r="K53" i="106"/>
  <c r="V52" i="106"/>
  <c r="U52" i="106"/>
  <c r="O52" i="106"/>
  <c r="M52" i="106"/>
  <c r="N52" i="106" s="1"/>
  <c r="K52" i="106"/>
  <c r="G52" i="106"/>
  <c r="AF51" i="106"/>
  <c r="V51" i="106"/>
  <c r="U51" i="106"/>
  <c r="O51" i="106"/>
  <c r="N51" i="106"/>
  <c r="Q51" i="106" s="1"/>
  <c r="M51" i="106"/>
  <c r="AE51" i="106" s="1"/>
  <c r="K51" i="106"/>
  <c r="G51" i="106"/>
  <c r="AF50" i="106"/>
  <c r="AE50" i="106"/>
  <c r="V50" i="106"/>
  <c r="U50" i="106"/>
  <c r="O50" i="106"/>
  <c r="M50" i="106"/>
  <c r="N50" i="106" s="1"/>
  <c r="K50" i="106"/>
  <c r="G50" i="106"/>
  <c r="AF49" i="106"/>
  <c r="AE49" i="106"/>
  <c r="X49" i="106"/>
  <c r="W49" i="106"/>
  <c r="V49" i="106"/>
  <c r="O49" i="106"/>
  <c r="M49" i="106"/>
  <c r="N49" i="106" s="1"/>
  <c r="K49" i="106"/>
  <c r="G49" i="106"/>
  <c r="AF48" i="106"/>
  <c r="AG40" i="106" s="1"/>
  <c r="AD48" i="106"/>
  <c r="Z48" i="106"/>
  <c r="Y48" i="106"/>
  <c r="O48" i="106"/>
  <c r="M48" i="106"/>
  <c r="N48" i="106" s="1"/>
  <c r="K48" i="106"/>
  <c r="AF47" i="106"/>
  <c r="AE47" i="106"/>
  <c r="V47" i="106"/>
  <c r="U47" i="106"/>
  <c r="O47" i="106"/>
  <c r="M47" i="106"/>
  <c r="N47" i="106" s="1"/>
  <c r="K47" i="106"/>
  <c r="G47" i="106"/>
  <c r="AF46" i="106"/>
  <c r="AE46" i="106"/>
  <c r="V46" i="106"/>
  <c r="U46" i="106"/>
  <c r="Q46" i="106"/>
  <c r="P46" i="106"/>
  <c r="O46" i="106"/>
  <c r="N46" i="106"/>
  <c r="M46" i="106"/>
  <c r="K46" i="106"/>
  <c r="G46" i="106"/>
  <c r="AF45" i="106"/>
  <c r="AE45" i="106"/>
  <c r="V45" i="106"/>
  <c r="U45" i="106"/>
  <c r="Q45" i="106"/>
  <c r="P45" i="106"/>
  <c r="O45" i="106"/>
  <c r="N45" i="106"/>
  <c r="M45" i="106"/>
  <c r="K45" i="106"/>
  <c r="G45" i="106"/>
  <c r="AF44" i="106"/>
  <c r="AE44" i="106"/>
  <c r="X44" i="106"/>
  <c r="W44" i="106"/>
  <c r="V44" i="106"/>
  <c r="U44" i="106"/>
  <c r="Q44" i="106"/>
  <c r="P44" i="106"/>
  <c r="O44" i="106"/>
  <c r="N44" i="106"/>
  <c r="M44" i="106"/>
  <c r="K44" i="106"/>
  <c r="G44" i="106"/>
  <c r="AF43" i="106"/>
  <c r="AE43" i="106"/>
  <c r="V43" i="106"/>
  <c r="U43" i="106"/>
  <c r="Q43" i="106"/>
  <c r="P43" i="106"/>
  <c r="O43" i="106"/>
  <c r="N43" i="106"/>
  <c r="M43" i="106"/>
  <c r="K43" i="106"/>
  <c r="G43" i="106"/>
  <c r="AF42" i="106"/>
  <c r="AE42" i="106"/>
  <c r="V42" i="106"/>
  <c r="U42" i="106"/>
  <c r="Q42" i="106"/>
  <c r="P42" i="106"/>
  <c r="O42" i="106"/>
  <c r="N42" i="106"/>
  <c r="M42" i="106"/>
  <c r="K42" i="106"/>
  <c r="G42" i="106"/>
  <c r="AF41" i="106"/>
  <c r="AE41" i="106"/>
  <c r="V41" i="106"/>
  <c r="U41" i="106"/>
  <c r="Q41" i="106"/>
  <c r="P41" i="106"/>
  <c r="O41" i="106"/>
  <c r="N41" i="106"/>
  <c r="M41" i="106"/>
  <c r="K41" i="106"/>
  <c r="G41" i="106"/>
  <c r="AF40" i="106"/>
  <c r="AE40" i="106"/>
  <c r="X40" i="106"/>
  <c r="W40" i="106"/>
  <c r="V40" i="106"/>
  <c r="Q40" i="106"/>
  <c r="P40" i="106"/>
  <c r="O40" i="106"/>
  <c r="N40" i="106"/>
  <c r="M40" i="106"/>
  <c r="K40" i="106"/>
  <c r="G40" i="106"/>
  <c r="AF39" i="106"/>
  <c r="AE39" i="106"/>
  <c r="AD39" i="106"/>
  <c r="Z39" i="106"/>
  <c r="Y39" i="106"/>
  <c r="O39" i="106"/>
  <c r="M39" i="106"/>
  <c r="N39" i="106" s="1"/>
  <c r="K39" i="106"/>
  <c r="AF38" i="106"/>
  <c r="AE38" i="106"/>
  <c r="V38" i="106"/>
  <c r="U38" i="106"/>
  <c r="Q38" i="106"/>
  <c r="P38" i="106"/>
  <c r="O38" i="106"/>
  <c r="N38" i="106"/>
  <c r="M38" i="106"/>
  <c r="K38" i="106"/>
  <c r="G38" i="106"/>
  <c r="AF37" i="106"/>
  <c r="AE37" i="106"/>
  <c r="V37" i="106"/>
  <c r="U37" i="106"/>
  <c r="Q37" i="106"/>
  <c r="P37" i="106"/>
  <c r="O37" i="106"/>
  <c r="N37" i="106"/>
  <c r="M37" i="106"/>
  <c r="K37" i="106"/>
  <c r="G37" i="106"/>
  <c r="AF36" i="106"/>
  <c r="AE36" i="106"/>
  <c r="V36" i="106"/>
  <c r="U36" i="106"/>
  <c r="O36" i="106"/>
  <c r="N36" i="106"/>
  <c r="P36" i="106" s="1"/>
  <c r="M36" i="106"/>
  <c r="K36" i="106"/>
  <c r="G36" i="106"/>
  <c r="AF35" i="106"/>
  <c r="AE35" i="106"/>
  <c r="X35" i="106"/>
  <c r="W35" i="106"/>
  <c r="V35" i="106"/>
  <c r="U35" i="106"/>
  <c r="Q35" i="106"/>
  <c r="P35" i="106"/>
  <c r="O35" i="106"/>
  <c r="N35" i="106"/>
  <c r="M35" i="106"/>
  <c r="K35" i="106"/>
  <c r="G35" i="106"/>
  <c r="AF34" i="106"/>
  <c r="AE34" i="106"/>
  <c r="V34" i="106"/>
  <c r="U34" i="106"/>
  <c r="O34" i="106"/>
  <c r="N34" i="106"/>
  <c r="P34" i="106" s="1"/>
  <c r="M34" i="106"/>
  <c r="K34" i="106"/>
  <c r="G34" i="106"/>
  <c r="AF33" i="106"/>
  <c r="AE33" i="106"/>
  <c r="V33" i="106"/>
  <c r="U33" i="106"/>
  <c r="Q33" i="106"/>
  <c r="P33" i="106"/>
  <c r="O33" i="106"/>
  <c r="N33" i="106"/>
  <c r="M33" i="106"/>
  <c r="K33" i="106"/>
  <c r="G33" i="106"/>
  <c r="AF32" i="106"/>
  <c r="AE32" i="106"/>
  <c r="V32" i="106"/>
  <c r="U32" i="106"/>
  <c r="Q32" i="106"/>
  <c r="P32" i="106"/>
  <c r="O32" i="106"/>
  <c r="N32" i="106"/>
  <c r="M32" i="106"/>
  <c r="K32" i="106"/>
  <c r="G32" i="106"/>
  <c r="AG31" i="106"/>
  <c r="AF31" i="106"/>
  <c r="AE31" i="106"/>
  <c r="X31" i="106"/>
  <c r="W31" i="106"/>
  <c r="V31" i="106"/>
  <c r="O31" i="106"/>
  <c r="N31" i="106"/>
  <c r="P31" i="106" s="1"/>
  <c r="M31" i="106"/>
  <c r="K31" i="106"/>
  <c r="G31" i="106"/>
  <c r="AD30" i="106"/>
  <c r="Z30" i="106"/>
  <c r="Y30" i="106"/>
  <c r="O30" i="106"/>
  <c r="K30" i="106"/>
  <c r="AF29" i="106"/>
  <c r="AE29" i="106"/>
  <c r="V29" i="106"/>
  <c r="U29" i="106"/>
  <c r="Q29" i="106"/>
  <c r="P29" i="106"/>
  <c r="O29" i="106"/>
  <c r="N29" i="106"/>
  <c r="M29" i="106"/>
  <c r="K29" i="106"/>
  <c r="G29" i="106"/>
  <c r="AF28" i="106"/>
  <c r="AE28" i="106"/>
  <c r="V28" i="106"/>
  <c r="U28" i="106"/>
  <c r="Q28" i="106"/>
  <c r="P28" i="106"/>
  <c r="O28" i="106"/>
  <c r="N28" i="106"/>
  <c r="M28" i="106"/>
  <c r="K28" i="106"/>
  <c r="G28" i="106"/>
  <c r="V27" i="106"/>
  <c r="U27" i="106"/>
  <c r="O27" i="106"/>
  <c r="M27" i="106"/>
  <c r="N27" i="106" s="1"/>
  <c r="K27" i="106"/>
  <c r="G27" i="106"/>
  <c r="AF26" i="106"/>
  <c r="V26" i="106"/>
  <c r="U26" i="106"/>
  <c r="O26" i="106"/>
  <c r="N26" i="106"/>
  <c r="Q26" i="106" s="1"/>
  <c r="M26" i="106"/>
  <c r="AE26" i="106" s="1"/>
  <c r="K26" i="106"/>
  <c r="G26" i="106"/>
  <c r="AF25" i="106"/>
  <c r="AE25" i="106"/>
  <c r="V25" i="106"/>
  <c r="U25" i="106"/>
  <c r="O25" i="106"/>
  <c r="M25" i="106"/>
  <c r="N25" i="106" s="1"/>
  <c r="K25" i="106"/>
  <c r="G25" i="106"/>
  <c r="AF24" i="106"/>
  <c r="AE24" i="106"/>
  <c r="V24" i="106"/>
  <c r="O24" i="106"/>
  <c r="M24" i="106"/>
  <c r="N24" i="106" s="1"/>
  <c r="K24" i="106"/>
  <c r="G24" i="106"/>
  <c r="AF23" i="106"/>
  <c r="AE23" i="106"/>
  <c r="AD23" i="106"/>
  <c r="Z23" i="106"/>
  <c r="Y23" i="106"/>
  <c r="O23" i="106"/>
  <c r="M23" i="106"/>
  <c r="N23" i="106" s="1"/>
  <c r="K23" i="106"/>
  <c r="AF22" i="106"/>
  <c r="AE22" i="106"/>
  <c r="V22" i="106"/>
  <c r="U22" i="106"/>
  <c r="Q22" i="106"/>
  <c r="P22" i="106"/>
  <c r="O22" i="106"/>
  <c r="N22" i="106"/>
  <c r="M22" i="106"/>
  <c r="K22" i="106"/>
  <c r="G22" i="106"/>
  <c r="AF21" i="106"/>
  <c r="AE21" i="106"/>
  <c r="V21" i="106"/>
  <c r="U21" i="106"/>
  <c r="Q21" i="106"/>
  <c r="P21" i="106"/>
  <c r="O21" i="106"/>
  <c r="N21" i="106"/>
  <c r="M21" i="106"/>
  <c r="K21" i="106"/>
  <c r="G21" i="106"/>
  <c r="AF20" i="106"/>
  <c r="AE20" i="106"/>
  <c r="V20" i="106"/>
  <c r="U20" i="106"/>
  <c r="Q20" i="106"/>
  <c r="P20" i="106"/>
  <c r="O20" i="106"/>
  <c r="N20" i="106"/>
  <c r="M20" i="106"/>
  <c r="K20" i="106"/>
  <c r="G20" i="106"/>
  <c r="AF19" i="106"/>
  <c r="AE19" i="106"/>
  <c r="V19" i="106"/>
  <c r="U19" i="106"/>
  <c r="Q19" i="106"/>
  <c r="P19" i="106"/>
  <c r="O19" i="106"/>
  <c r="N19" i="106"/>
  <c r="M19" i="106"/>
  <c r="K19" i="106"/>
  <c r="G19" i="106"/>
  <c r="AF18" i="106"/>
  <c r="AE18" i="106"/>
  <c r="V18" i="106"/>
  <c r="U18" i="106"/>
  <c r="O18" i="106"/>
  <c r="N18" i="106"/>
  <c r="P18" i="106" s="1"/>
  <c r="M18" i="106"/>
  <c r="K18" i="106"/>
  <c r="G18" i="106"/>
  <c r="AF17" i="106"/>
  <c r="AE17" i="106"/>
  <c r="V17" i="106"/>
  <c r="U17" i="106"/>
  <c r="Q17" i="106"/>
  <c r="P17" i="106"/>
  <c r="O17" i="106"/>
  <c r="N17" i="106"/>
  <c r="M17" i="106"/>
  <c r="K17" i="106"/>
  <c r="G17" i="106"/>
  <c r="AG16" i="106"/>
  <c r="AF16" i="106"/>
  <c r="AE16" i="106"/>
  <c r="X16" i="106"/>
  <c r="W16" i="106"/>
  <c r="V16" i="106"/>
  <c r="Q16" i="106"/>
  <c r="P16" i="106"/>
  <c r="O16" i="106"/>
  <c r="N16" i="106"/>
  <c r="M16" i="106"/>
  <c r="K16" i="106"/>
  <c r="G16" i="106"/>
  <c r="AF15" i="106"/>
  <c r="AE15" i="106"/>
  <c r="AD15" i="106"/>
  <c r="Z15" i="106"/>
  <c r="Y15" i="106"/>
  <c r="Q15" i="106"/>
  <c r="R10" i="106" s="1"/>
  <c r="P15" i="106"/>
  <c r="O15" i="106"/>
  <c r="N15" i="106"/>
  <c r="M15" i="106"/>
  <c r="K15" i="106"/>
  <c r="AF14" i="106"/>
  <c r="AE14" i="106"/>
  <c r="V14" i="106"/>
  <c r="U14" i="106"/>
  <c r="Q14" i="106"/>
  <c r="P14" i="106"/>
  <c r="O14" i="106"/>
  <c r="N14" i="106"/>
  <c r="M14" i="106"/>
  <c r="K14" i="106"/>
  <c r="G14" i="106"/>
  <c r="AF13" i="106"/>
  <c r="AE13" i="106"/>
  <c r="V13" i="106"/>
  <c r="U13" i="106"/>
  <c r="Q13" i="106"/>
  <c r="P13" i="106"/>
  <c r="O13" i="106"/>
  <c r="N13" i="106"/>
  <c r="M13" i="106"/>
  <c r="K13" i="106"/>
  <c r="G13" i="106"/>
  <c r="AF12" i="106"/>
  <c r="AE12" i="106"/>
  <c r="X12" i="106"/>
  <c r="W12" i="106"/>
  <c r="V12" i="106"/>
  <c r="U12" i="106"/>
  <c r="Q12" i="106"/>
  <c r="P12" i="106"/>
  <c r="O12" i="106"/>
  <c r="N12" i="106"/>
  <c r="M12" i="106"/>
  <c r="K12" i="106"/>
  <c r="G12" i="106"/>
  <c r="AF11" i="106"/>
  <c r="AE11" i="106"/>
  <c r="V11" i="106"/>
  <c r="U11" i="106"/>
  <c r="Q11" i="106"/>
  <c r="P11" i="106"/>
  <c r="O11" i="106"/>
  <c r="N11" i="106"/>
  <c r="M11" i="106"/>
  <c r="K11" i="106"/>
  <c r="G11" i="106"/>
  <c r="AG10" i="106"/>
  <c r="AF10" i="106"/>
  <c r="AE10" i="106"/>
  <c r="X10" i="106"/>
  <c r="W10" i="106"/>
  <c r="V10" i="106"/>
  <c r="O10" i="106"/>
  <c r="N10" i="106"/>
  <c r="P10" i="106" s="1"/>
  <c r="M10" i="106"/>
  <c r="K10" i="106"/>
  <c r="G10" i="106"/>
  <c r="AF9" i="106"/>
  <c r="AE9" i="106"/>
  <c r="AD9" i="106"/>
  <c r="Z9" i="106"/>
  <c r="Y9" i="106"/>
  <c r="O9" i="106"/>
  <c r="N9" i="106"/>
  <c r="D14" i="105" s="1"/>
  <c r="M9" i="106"/>
  <c r="K9" i="106"/>
  <c r="AF8" i="106"/>
  <c r="AE8" i="106"/>
  <c r="V8" i="106"/>
  <c r="U8" i="106"/>
  <c r="Q8" i="106"/>
  <c r="P8" i="106"/>
  <c r="O8" i="106"/>
  <c r="N8" i="106"/>
  <c r="M8" i="106"/>
  <c r="K8" i="106"/>
  <c r="G8" i="106"/>
  <c r="AF7" i="106"/>
  <c r="AE7" i="106"/>
  <c r="X7" i="106"/>
  <c r="W7" i="106"/>
  <c r="V7" i="106"/>
  <c r="U7" i="106"/>
  <c r="Q7" i="106"/>
  <c r="P7" i="106"/>
  <c r="O7" i="106"/>
  <c r="N7" i="106"/>
  <c r="M7" i="106"/>
  <c r="K7" i="106"/>
  <c r="G7" i="106"/>
  <c r="AF6" i="106"/>
  <c r="AE6" i="106"/>
  <c r="V6" i="106"/>
  <c r="U6" i="106"/>
  <c r="Q6" i="106"/>
  <c r="P6" i="106"/>
  <c r="O6" i="106"/>
  <c r="N6" i="106"/>
  <c r="M6" i="106"/>
  <c r="K6" i="106"/>
  <c r="G6" i="106"/>
  <c r="AG5" i="106"/>
  <c r="AF5" i="106"/>
  <c r="AE5" i="106"/>
  <c r="V5" i="106"/>
  <c r="Q5" i="106"/>
  <c r="P5" i="106"/>
  <c r="O5" i="106"/>
  <c r="N5" i="106"/>
  <c r="M5" i="106"/>
  <c r="K5" i="106"/>
  <c r="G5" i="106"/>
  <c r="AD2" i="106"/>
  <c r="Z2" i="106"/>
  <c r="L6" i="105" s="1"/>
  <c r="Y2" i="106"/>
  <c r="H2" i="106"/>
  <c r="H1" i="106"/>
  <c r="F1" i="106"/>
  <c r="F2" i="106" s="1"/>
  <c r="D1" i="106"/>
  <c r="M22" i="105"/>
  <c r="L22" i="105"/>
  <c r="K22" i="105"/>
  <c r="J22" i="105"/>
  <c r="I22" i="105"/>
  <c r="H22" i="105"/>
  <c r="G22" i="105"/>
  <c r="F22" i="105"/>
  <c r="E22" i="105"/>
  <c r="D22" i="105"/>
  <c r="M21" i="105"/>
  <c r="L21" i="105"/>
  <c r="K21" i="105"/>
  <c r="J21" i="105"/>
  <c r="I21" i="105"/>
  <c r="H21" i="105"/>
  <c r="G21" i="105"/>
  <c r="F21" i="105"/>
  <c r="E21" i="105"/>
  <c r="D21" i="105"/>
  <c r="M20" i="105"/>
  <c r="L20" i="105"/>
  <c r="K20" i="105"/>
  <c r="J20" i="105"/>
  <c r="I20" i="105"/>
  <c r="H20" i="105"/>
  <c r="G20" i="105"/>
  <c r="F20" i="105"/>
  <c r="E20" i="105"/>
  <c r="D20" i="105"/>
  <c r="M19" i="105"/>
  <c r="L19" i="105"/>
  <c r="K19" i="105"/>
  <c r="J19" i="105"/>
  <c r="I19" i="105"/>
  <c r="H19" i="105"/>
  <c r="G19" i="105"/>
  <c r="F19" i="105"/>
  <c r="E19" i="105"/>
  <c r="D19" i="105"/>
  <c r="M18" i="105"/>
  <c r="L18" i="105"/>
  <c r="K18" i="105"/>
  <c r="J18" i="105"/>
  <c r="I18" i="105"/>
  <c r="H18" i="105"/>
  <c r="G18" i="105"/>
  <c r="F18" i="105"/>
  <c r="E18" i="105"/>
  <c r="D18" i="105"/>
  <c r="M17" i="105"/>
  <c r="L17" i="105"/>
  <c r="K17" i="105"/>
  <c r="J17" i="105"/>
  <c r="I17" i="105"/>
  <c r="H17" i="105"/>
  <c r="G17" i="105"/>
  <c r="F17" i="105"/>
  <c r="E17" i="105"/>
  <c r="D17" i="105"/>
  <c r="M16" i="105"/>
  <c r="L16" i="105"/>
  <c r="K16" i="105"/>
  <c r="J16" i="105"/>
  <c r="I16" i="105"/>
  <c r="H16" i="105"/>
  <c r="G16" i="105"/>
  <c r="F16" i="105"/>
  <c r="E16" i="105"/>
  <c r="D16" i="105"/>
  <c r="J15" i="105"/>
  <c r="J14" i="105"/>
  <c r="E14" i="105"/>
  <c r="E15" i="105" s="1"/>
  <c r="M13" i="105"/>
  <c r="L13" i="105"/>
  <c r="K13" i="105"/>
  <c r="J13" i="105"/>
  <c r="I13" i="105"/>
  <c r="H13" i="105"/>
  <c r="G13" i="105"/>
  <c r="G6" i="105" s="1"/>
  <c r="F13" i="105"/>
  <c r="E13" i="105"/>
  <c r="D13" i="105"/>
  <c r="N6" i="105"/>
  <c r="M6" i="105"/>
  <c r="K6" i="105"/>
  <c r="I6" i="105"/>
  <c r="F3" i="105"/>
  <c r="C3" i="105"/>
  <c r="P15" i="108" l="1"/>
  <c r="Q15" i="108"/>
  <c r="P17" i="108"/>
  <c r="Q17" i="108"/>
  <c r="Q10" i="108"/>
  <c r="P10" i="108"/>
  <c r="N22" i="108"/>
  <c r="AE22" i="108"/>
  <c r="AF22" i="108"/>
  <c r="AG15" i="108" s="1"/>
  <c r="AF14" i="108"/>
  <c r="AG10" i="108" s="1"/>
  <c r="AE14" i="108"/>
  <c r="N14" i="108"/>
  <c r="Q36" i="108"/>
  <c r="P36" i="108"/>
  <c r="Q18" i="108"/>
  <c r="P18" i="108"/>
  <c r="P59" i="108"/>
  <c r="Q59" i="108"/>
  <c r="P30" i="108"/>
  <c r="Q30" i="108"/>
  <c r="AF29" i="108"/>
  <c r="AG23" i="108" s="1"/>
  <c r="AE29" i="108"/>
  <c r="N29" i="108"/>
  <c r="N38" i="108"/>
  <c r="AE38" i="108"/>
  <c r="AF38" i="108"/>
  <c r="AG30" i="108" s="1"/>
  <c r="Q12" i="108"/>
  <c r="P12" i="108"/>
  <c r="P60" i="108"/>
  <c r="Q60" i="108"/>
  <c r="AF52" i="108"/>
  <c r="AG48" i="108" s="1"/>
  <c r="AE52" i="108"/>
  <c r="N52" i="108"/>
  <c r="P7" i="108"/>
  <c r="Q7" i="108"/>
  <c r="P58" i="108"/>
  <c r="Q58" i="108"/>
  <c r="Q34" i="108"/>
  <c r="P34" i="108"/>
  <c r="N61" i="108"/>
  <c r="AF61" i="108"/>
  <c r="AG53" i="108" s="1"/>
  <c r="AE61" i="108"/>
  <c r="Q35" i="108"/>
  <c r="P35" i="108"/>
  <c r="AF75" i="108"/>
  <c r="AG68" i="108" s="1"/>
  <c r="AE75" i="108"/>
  <c r="N75" i="108"/>
  <c r="P33" i="108"/>
  <c r="Q33" i="108"/>
  <c r="AF9" i="108"/>
  <c r="AG5" i="108" s="1"/>
  <c r="AE9" i="108"/>
  <c r="N9" i="108"/>
  <c r="P49" i="106"/>
  <c r="Q49" i="106"/>
  <c r="P25" i="106"/>
  <c r="Q25" i="106"/>
  <c r="P71" i="106"/>
  <c r="Q71" i="106"/>
  <c r="P75" i="106"/>
  <c r="Q75" i="106"/>
  <c r="K14" i="105"/>
  <c r="Q39" i="106"/>
  <c r="R31" i="106" s="1"/>
  <c r="P39" i="106"/>
  <c r="P48" i="106"/>
  <c r="Q48" i="106"/>
  <c r="R40" i="106" s="1"/>
  <c r="L14" i="105"/>
  <c r="L15" i="105" s="1"/>
  <c r="P27" i="106"/>
  <c r="Q27" i="106"/>
  <c r="Q53" i="106"/>
  <c r="R49" i="106" s="1"/>
  <c r="P53" i="106"/>
  <c r="H14" i="105"/>
  <c r="H15" i="105" s="1"/>
  <c r="AF78" i="106"/>
  <c r="AG69" i="106" s="1"/>
  <c r="AE78" i="106"/>
  <c r="N78" i="106"/>
  <c r="D15" i="105"/>
  <c r="P52" i="106"/>
  <c r="Q52" i="106"/>
  <c r="P55" i="106"/>
  <c r="Q55" i="106"/>
  <c r="P24" i="106"/>
  <c r="Q24" i="106"/>
  <c r="P73" i="106"/>
  <c r="Q73" i="106"/>
  <c r="P23" i="106"/>
  <c r="F14" i="105"/>
  <c r="F15" i="105" s="1"/>
  <c r="Q23" i="106"/>
  <c r="R16" i="106" s="1"/>
  <c r="P47" i="106"/>
  <c r="Q47" i="106"/>
  <c r="P50" i="106"/>
  <c r="Q50" i="106"/>
  <c r="AE53" i="106"/>
  <c r="AE27" i="106"/>
  <c r="AE52" i="106"/>
  <c r="AF53" i="106"/>
  <c r="AG49" i="106" s="1"/>
  <c r="AE55" i="106"/>
  <c r="N62" i="106"/>
  <c r="AE75" i="106"/>
  <c r="AF27" i="106"/>
  <c r="M30" i="106"/>
  <c r="AE48" i="106"/>
  <c r="AF52" i="106"/>
  <c r="AF55" i="106"/>
  <c r="AF75" i="106"/>
  <c r="Q10" i="106"/>
  <c r="Q31" i="106"/>
  <c r="Q34" i="106"/>
  <c r="Q36" i="106"/>
  <c r="P58" i="106"/>
  <c r="Q59" i="106"/>
  <c r="Q61" i="106"/>
  <c r="P9" i="106"/>
  <c r="Q9" i="106"/>
  <c r="R5" i="106" s="1"/>
  <c r="Q18" i="106"/>
  <c r="I3" i="105"/>
  <c r="P26" i="106"/>
  <c r="P51" i="106"/>
  <c r="P68" i="106"/>
  <c r="P69" i="106"/>
  <c r="P72" i="106"/>
  <c r="P74" i="106"/>
  <c r="AE62" i="106"/>
  <c r="E6" i="105"/>
  <c r="F6" i="105"/>
  <c r="AD69" i="104"/>
  <c r="Z69" i="104"/>
  <c r="M19" i="103" s="1"/>
  <c r="Y69" i="104"/>
  <c r="O69" i="104"/>
  <c r="K69" i="104"/>
  <c r="V68" i="104"/>
  <c r="U68" i="104"/>
  <c r="O68" i="104"/>
  <c r="M68" i="104"/>
  <c r="AE68" i="104" s="1"/>
  <c r="K68" i="104"/>
  <c r="G68" i="104"/>
  <c r="X67" i="104"/>
  <c r="W67" i="104"/>
  <c r="V67" i="104"/>
  <c r="U67" i="104"/>
  <c r="O67" i="104"/>
  <c r="M67" i="104"/>
  <c r="N67" i="104" s="1"/>
  <c r="K67" i="104"/>
  <c r="G67" i="104"/>
  <c r="V66" i="104"/>
  <c r="U66" i="104"/>
  <c r="O66" i="104"/>
  <c r="M66" i="104"/>
  <c r="AE66" i="104" s="1"/>
  <c r="K66" i="104"/>
  <c r="G66" i="104"/>
  <c r="AF65" i="104"/>
  <c r="AE65" i="104"/>
  <c r="V65" i="104"/>
  <c r="U65" i="104"/>
  <c r="O65" i="104"/>
  <c r="N65" i="104"/>
  <c r="Q65" i="104" s="1"/>
  <c r="M65" i="104"/>
  <c r="K65" i="104"/>
  <c r="P65" i="104" s="1"/>
  <c r="G65" i="104"/>
  <c r="AF64" i="104"/>
  <c r="AE64" i="104"/>
  <c r="V64" i="104"/>
  <c r="U64" i="104"/>
  <c r="O64" i="104"/>
  <c r="M64" i="104"/>
  <c r="N64" i="104" s="1"/>
  <c r="K64" i="104"/>
  <c r="G64" i="104"/>
  <c r="X63" i="104"/>
  <c r="W63" i="104"/>
  <c r="V63" i="104"/>
  <c r="O63" i="104"/>
  <c r="M63" i="104"/>
  <c r="N63" i="104" s="1"/>
  <c r="K63" i="104"/>
  <c r="G63" i="104"/>
  <c r="AD62" i="104"/>
  <c r="Z62" i="104"/>
  <c r="Y62" i="104"/>
  <c r="O62" i="104"/>
  <c r="K62" i="104"/>
  <c r="AF61" i="104"/>
  <c r="AE61" i="104"/>
  <c r="V61" i="104"/>
  <c r="U61" i="104"/>
  <c r="O61" i="104"/>
  <c r="M61" i="104"/>
  <c r="N61" i="104" s="1"/>
  <c r="K61" i="104"/>
  <c r="G61" i="104"/>
  <c r="V60" i="104"/>
  <c r="M60" i="104" s="1"/>
  <c r="U60" i="104"/>
  <c r="O60" i="104"/>
  <c r="K60" i="104"/>
  <c r="G60" i="104"/>
  <c r="AF59" i="104"/>
  <c r="AE59" i="104"/>
  <c r="V59" i="104"/>
  <c r="U59" i="104"/>
  <c r="O59" i="104"/>
  <c r="M59" i="104"/>
  <c r="N59" i="104" s="1"/>
  <c r="K59" i="104"/>
  <c r="G59" i="104"/>
  <c r="V58" i="104"/>
  <c r="M58" i="104" s="1"/>
  <c r="U58" i="104"/>
  <c r="O58" i="104"/>
  <c r="K58" i="104"/>
  <c r="G58" i="104"/>
  <c r="V57" i="104"/>
  <c r="M57" i="104" s="1"/>
  <c r="O57" i="104"/>
  <c r="K57" i="104"/>
  <c r="G57" i="104"/>
  <c r="AD56" i="104"/>
  <c r="I21" i="103" s="1"/>
  <c r="Z56" i="104"/>
  <c r="I19" i="103" s="1"/>
  <c r="Y56" i="104"/>
  <c r="O56" i="104"/>
  <c r="K56" i="104"/>
  <c r="V55" i="104"/>
  <c r="M55" i="104" s="1"/>
  <c r="U55" i="104"/>
  <c r="O55" i="104"/>
  <c r="K55" i="104"/>
  <c r="G55" i="104"/>
  <c r="V54" i="104"/>
  <c r="M54" i="104" s="1"/>
  <c r="U54" i="104"/>
  <c r="O54" i="104"/>
  <c r="K54" i="104"/>
  <c r="G54" i="104"/>
  <c r="AE53" i="104"/>
  <c r="V53" i="104"/>
  <c r="U53" i="104"/>
  <c r="O53" i="104"/>
  <c r="M53" i="104"/>
  <c r="AF53" i="104" s="1"/>
  <c r="K53" i="104"/>
  <c r="G53" i="104"/>
  <c r="V52" i="104"/>
  <c r="M52" i="104" s="1"/>
  <c r="U52" i="104"/>
  <c r="O52" i="104"/>
  <c r="K52" i="104"/>
  <c r="G52" i="104"/>
  <c r="V51" i="104"/>
  <c r="U51" i="104"/>
  <c r="O51" i="104"/>
  <c r="M51" i="104"/>
  <c r="AF51" i="104" s="1"/>
  <c r="K51" i="104"/>
  <c r="G51" i="104"/>
  <c r="V50" i="104"/>
  <c r="U50" i="104"/>
  <c r="O50" i="104"/>
  <c r="M50" i="104"/>
  <c r="AE50" i="104" s="1"/>
  <c r="K50" i="104"/>
  <c r="G50" i="104"/>
  <c r="X49" i="104"/>
  <c r="W49" i="104"/>
  <c r="V49" i="104"/>
  <c r="U49" i="104"/>
  <c r="O49" i="104"/>
  <c r="M49" i="104"/>
  <c r="N49" i="104" s="1"/>
  <c r="K49" i="104"/>
  <c r="G49" i="104"/>
  <c r="V48" i="104"/>
  <c r="O48" i="104"/>
  <c r="M48" i="104"/>
  <c r="AF48" i="104" s="1"/>
  <c r="K48" i="104"/>
  <c r="G48" i="104"/>
  <c r="AD47" i="104"/>
  <c r="Z47" i="104"/>
  <c r="Y47" i="104"/>
  <c r="O47" i="104"/>
  <c r="K47" i="104"/>
  <c r="AF46" i="104"/>
  <c r="AE46" i="104"/>
  <c r="V46" i="104"/>
  <c r="U46" i="104"/>
  <c r="O46" i="104"/>
  <c r="N46" i="104"/>
  <c r="Q46" i="104" s="1"/>
  <c r="M46" i="104"/>
  <c r="K46" i="104"/>
  <c r="P46" i="104" s="1"/>
  <c r="G46" i="104"/>
  <c r="AF45" i="104"/>
  <c r="AE45" i="104"/>
  <c r="V45" i="104"/>
  <c r="U45" i="104"/>
  <c r="O45" i="104"/>
  <c r="M45" i="104"/>
  <c r="N45" i="104" s="1"/>
  <c r="K45" i="104"/>
  <c r="G45" i="104"/>
  <c r="V44" i="104"/>
  <c r="M44" i="104" s="1"/>
  <c r="U44" i="104"/>
  <c r="O44" i="104"/>
  <c r="K44" i="104"/>
  <c r="G44" i="104"/>
  <c r="AF43" i="104"/>
  <c r="AE43" i="104"/>
  <c r="X43" i="104"/>
  <c r="W43" i="104"/>
  <c r="V43" i="104"/>
  <c r="O43" i="104"/>
  <c r="N43" i="104"/>
  <c r="Q43" i="104" s="1"/>
  <c r="M43" i="104"/>
  <c r="K43" i="104"/>
  <c r="P43" i="104" s="1"/>
  <c r="G43" i="104"/>
  <c r="AD42" i="104"/>
  <c r="Z42" i="104"/>
  <c r="Y42" i="104"/>
  <c r="O42" i="104"/>
  <c r="K42" i="104"/>
  <c r="V41" i="104"/>
  <c r="M41" i="104" s="1"/>
  <c r="U41" i="104"/>
  <c r="O41" i="104"/>
  <c r="K41" i="104"/>
  <c r="G41" i="104"/>
  <c r="AF40" i="104"/>
  <c r="AE40" i="104"/>
  <c r="X40" i="104"/>
  <c r="W40" i="104"/>
  <c r="V40" i="104"/>
  <c r="U40" i="104"/>
  <c r="O40" i="104"/>
  <c r="M40" i="104"/>
  <c r="N40" i="104" s="1"/>
  <c r="K40" i="104"/>
  <c r="G40" i="104"/>
  <c r="V39" i="104"/>
  <c r="M39" i="104" s="1"/>
  <c r="U39" i="104"/>
  <c r="O39" i="104"/>
  <c r="K39" i="104"/>
  <c r="G39" i="104"/>
  <c r="AF38" i="104"/>
  <c r="AE38" i="104"/>
  <c r="V38" i="104"/>
  <c r="U38" i="104"/>
  <c r="O38" i="104"/>
  <c r="M38" i="104"/>
  <c r="N38" i="104" s="1"/>
  <c r="K38" i="104"/>
  <c r="G38" i="104"/>
  <c r="V37" i="104"/>
  <c r="M37" i="104" s="1"/>
  <c r="U37" i="104"/>
  <c r="O37" i="104"/>
  <c r="K37" i="104"/>
  <c r="G37" i="104"/>
  <c r="X36" i="104"/>
  <c r="W36" i="104"/>
  <c r="V36" i="104"/>
  <c r="M36" i="104" s="1"/>
  <c r="O36" i="104"/>
  <c r="K36" i="104"/>
  <c r="G36" i="104"/>
  <c r="AD35" i="104"/>
  <c r="K21" i="103" s="1"/>
  <c r="Z35" i="104"/>
  <c r="Y35" i="104"/>
  <c r="O35" i="104"/>
  <c r="K35" i="104"/>
  <c r="V34" i="104"/>
  <c r="M34" i="104" s="1"/>
  <c r="U34" i="104"/>
  <c r="O34" i="104"/>
  <c r="K34" i="104"/>
  <c r="G34" i="104"/>
  <c r="X33" i="104"/>
  <c r="W33" i="104"/>
  <c r="V33" i="104"/>
  <c r="U33" i="104"/>
  <c r="O33" i="104"/>
  <c r="M33" i="104"/>
  <c r="N33" i="104" s="1"/>
  <c r="K33" i="104"/>
  <c r="G33" i="104"/>
  <c r="V32" i="104"/>
  <c r="M32" i="104" s="1"/>
  <c r="U32" i="104"/>
  <c r="O32" i="104"/>
  <c r="K32" i="104"/>
  <c r="G32" i="104"/>
  <c r="V31" i="104"/>
  <c r="M31" i="104" s="1"/>
  <c r="U31" i="104"/>
  <c r="O31" i="104"/>
  <c r="K31" i="104"/>
  <c r="G31" i="104"/>
  <c r="V30" i="104"/>
  <c r="M30" i="104" s="1"/>
  <c r="U30" i="104"/>
  <c r="O30" i="104"/>
  <c r="K30" i="104"/>
  <c r="G30" i="104"/>
  <c r="X29" i="104"/>
  <c r="W29" i="104"/>
  <c r="V29" i="104"/>
  <c r="M29" i="104" s="1"/>
  <c r="O29" i="104"/>
  <c r="K29" i="104"/>
  <c r="G29" i="104"/>
  <c r="AD28" i="104"/>
  <c r="G21" i="103" s="1"/>
  <c r="Z28" i="104"/>
  <c r="G19" i="103" s="1"/>
  <c r="Y28" i="104"/>
  <c r="O28" i="104"/>
  <c r="K28" i="104"/>
  <c r="V27" i="104"/>
  <c r="M27" i="104" s="1"/>
  <c r="U27" i="104"/>
  <c r="O27" i="104"/>
  <c r="K27" i="104"/>
  <c r="G27" i="104"/>
  <c r="V26" i="104"/>
  <c r="M26" i="104" s="1"/>
  <c r="U26" i="104"/>
  <c r="O26" i="104"/>
  <c r="K26" i="104"/>
  <c r="G26" i="104"/>
  <c r="AE25" i="104"/>
  <c r="V25" i="104"/>
  <c r="U25" i="104"/>
  <c r="O25" i="104"/>
  <c r="M25" i="104"/>
  <c r="AF25" i="104" s="1"/>
  <c r="K25" i="104"/>
  <c r="G25" i="104"/>
  <c r="V24" i="104"/>
  <c r="M24" i="104" s="1"/>
  <c r="U24" i="104"/>
  <c r="O24" i="104"/>
  <c r="K24" i="104"/>
  <c r="G24" i="104"/>
  <c r="V23" i="104"/>
  <c r="U23" i="104"/>
  <c r="O23" i="104"/>
  <c r="M23" i="104"/>
  <c r="AF23" i="104" s="1"/>
  <c r="K23" i="104"/>
  <c r="G23" i="104"/>
  <c r="V22" i="104"/>
  <c r="O22" i="104"/>
  <c r="M22" i="104"/>
  <c r="AF22" i="104" s="1"/>
  <c r="K22" i="104"/>
  <c r="G22" i="104"/>
  <c r="AD21" i="104"/>
  <c r="Z21" i="104"/>
  <c r="Y21" i="104"/>
  <c r="O21" i="104"/>
  <c r="K21" i="104"/>
  <c r="AF20" i="104"/>
  <c r="AE20" i="104"/>
  <c r="V20" i="104"/>
  <c r="U20" i="104"/>
  <c r="O20" i="104"/>
  <c r="N20" i="104"/>
  <c r="Q20" i="104" s="1"/>
  <c r="M20" i="104"/>
  <c r="K20" i="104"/>
  <c r="P20" i="104" s="1"/>
  <c r="G20" i="104"/>
  <c r="AF19" i="104"/>
  <c r="AE19" i="104"/>
  <c r="V19" i="104"/>
  <c r="U19" i="104"/>
  <c r="O19" i="104"/>
  <c r="M19" i="104"/>
  <c r="N19" i="104" s="1"/>
  <c r="K19" i="104"/>
  <c r="G19" i="104"/>
  <c r="V18" i="104"/>
  <c r="M18" i="104" s="1"/>
  <c r="U18" i="104"/>
  <c r="O18" i="104"/>
  <c r="K18" i="104"/>
  <c r="G18" i="104"/>
  <c r="AF17" i="104"/>
  <c r="AE17" i="104"/>
  <c r="V17" i="104"/>
  <c r="U17" i="104"/>
  <c r="O17" i="104"/>
  <c r="M17" i="104"/>
  <c r="N17" i="104" s="1"/>
  <c r="K17" i="104"/>
  <c r="G17" i="104"/>
  <c r="V16" i="104"/>
  <c r="M16" i="104" s="1"/>
  <c r="U16" i="104"/>
  <c r="O16" i="104"/>
  <c r="K16" i="104"/>
  <c r="G16" i="104"/>
  <c r="V15" i="104"/>
  <c r="M15" i="104" s="1"/>
  <c r="U15" i="104"/>
  <c r="O15" i="104"/>
  <c r="K15" i="104"/>
  <c r="G15" i="104"/>
  <c r="X14" i="104"/>
  <c r="W14" i="104"/>
  <c r="V14" i="104"/>
  <c r="O14" i="104"/>
  <c r="M14" i="104"/>
  <c r="N14" i="104" s="1"/>
  <c r="K14" i="104"/>
  <c r="G14" i="104"/>
  <c r="AD13" i="104"/>
  <c r="E21" i="103" s="1"/>
  <c r="Z13" i="104"/>
  <c r="Y13" i="104"/>
  <c r="O13" i="104"/>
  <c r="K13" i="104"/>
  <c r="V12" i="104"/>
  <c r="M12" i="104" s="1"/>
  <c r="U12" i="104"/>
  <c r="O12" i="104"/>
  <c r="K12" i="104"/>
  <c r="G12" i="104"/>
  <c r="X11" i="104"/>
  <c r="W11" i="104"/>
  <c r="V11" i="104"/>
  <c r="M11" i="104" s="1"/>
  <c r="U11" i="104"/>
  <c r="O11" i="104"/>
  <c r="K11" i="104"/>
  <c r="G11" i="104"/>
  <c r="V10" i="104"/>
  <c r="M10" i="104" s="1"/>
  <c r="U10" i="104"/>
  <c r="O10" i="104"/>
  <c r="K10" i="104"/>
  <c r="G10" i="104"/>
  <c r="X9" i="104"/>
  <c r="W9" i="104"/>
  <c r="V9" i="104"/>
  <c r="O9" i="104"/>
  <c r="M9" i="104"/>
  <c r="N9" i="104" s="1"/>
  <c r="K9" i="104"/>
  <c r="G9" i="104"/>
  <c r="AD8" i="104"/>
  <c r="AD2" i="104" s="1"/>
  <c r="N6" i="103" s="1"/>
  <c r="Z8" i="104"/>
  <c r="Z2" i="104" s="1"/>
  <c r="L6" i="103" s="1"/>
  <c r="Y8" i="104"/>
  <c r="Y2" i="104" s="1"/>
  <c r="K6" i="103" s="1"/>
  <c r="O8" i="104"/>
  <c r="K8" i="104"/>
  <c r="V7" i="104"/>
  <c r="M7" i="104" s="1"/>
  <c r="U7" i="104"/>
  <c r="O7" i="104"/>
  <c r="K7" i="104"/>
  <c r="G7" i="104"/>
  <c r="F1" i="104" s="1"/>
  <c r="V6" i="104"/>
  <c r="M6" i="104" s="1"/>
  <c r="U6" i="104"/>
  <c r="O6" i="104"/>
  <c r="K6" i="104"/>
  <c r="G6" i="104"/>
  <c r="V5" i="104"/>
  <c r="M5" i="104" s="1"/>
  <c r="O5" i="104"/>
  <c r="K5" i="104"/>
  <c r="G5" i="104"/>
  <c r="H2" i="104"/>
  <c r="H1" i="104"/>
  <c r="D1" i="104"/>
  <c r="M22" i="103"/>
  <c r="L22" i="103"/>
  <c r="K22" i="103"/>
  <c r="J22" i="103"/>
  <c r="I22" i="103"/>
  <c r="H22" i="103"/>
  <c r="G22" i="103"/>
  <c r="F22" i="103"/>
  <c r="E22" i="103"/>
  <c r="D22" i="103"/>
  <c r="M21" i="103"/>
  <c r="L21" i="103"/>
  <c r="J21" i="103"/>
  <c r="H21" i="103"/>
  <c r="F21" i="103"/>
  <c r="D21" i="103"/>
  <c r="M20" i="103"/>
  <c r="L20" i="103"/>
  <c r="K20" i="103"/>
  <c r="J20" i="103"/>
  <c r="I20" i="103"/>
  <c r="H20" i="103"/>
  <c r="G20" i="103"/>
  <c r="F20" i="103"/>
  <c r="E20" i="103"/>
  <c r="D20" i="103"/>
  <c r="L19" i="103"/>
  <c r="K19" i="103"/>
  <c r="J19" i="103"/>
  <c r="H19" i="103"/>
  <c r="F19" i="103"/>
  <c r="E19" i="103"/>
  <c r="D19" i="103"/>
  <c r="M18" i="103"/>
  <c r="L18" i="103"/>
  <c r="K18" i="103"/>
  <c r="J18" i="103"/>
  <c r="I18" i="103"/>
  <c r="H18" i="103"/>
  <c r="G18" i="103"/>
  <c r="F18" i="103"/>
  <c r="E18" i="103"/>
  <c r="D18" i="103"/>
  <c r="M17" i="103"/>
  <c r="L17" i="103"/>
  <c r="K17" i="103"/>
  <c r="J17" i="103"/>
  <c r="I17" i="103"/>
  <c r="H17" i="103"/>
  <c r="G17" i="103"/>
  <c r="F17" i="103"/>
  <c r="E17" i="103"/>
  <c r="D17" i="103"/>
  <c r="M16" i="103"/>
  <c r="L16" i="103"/>
  <c r="K16" i="103"/>
  <c r="J16" i="103"/>
  <c r="I16" i="103"/>
  <c r="H16" i="103"/>
  <c r="G16" i="103"/>
  <c r="F16" i="103"/>
  <c r="E16" i="103"/>
  <c r="D16" i="103"/>
  <c r="M13" i="103"/>
  <c r="L13" i="103"/>
  <c r="K13" i="103"/>
  <c r="I6" i="103" s="1"/>
  <c r="J13" i="103"/>
  <c r="I13" i="103"/>
  <c r="H13" i="103"/>
  <c r="G6" i="103" s="1"/>
  <c r="G13" i="103"/>
  <c r="F13" i="103"/>
  <c r="E13" i="103"/>
  <c r="D13" i="103"/>
  <c r="M6" i="103"/>
  <c r="F3" i="103"/>
  <c r="C3" i="103"/>
  <c r="E14" i="107" l="1"/>
  <c r="E15" i="107" s="1"/>
  <c r="Q14" i="108"/>
  <c r="R10" i="108" s="1"/>
  <c r="P14" i="108"/>
  <c r="Q52" i="108"/>
  <c r="R48" i="108" s="1"/>
  <c r="P52" i="108"/>
  <c r="H14" i="107"/>
  <c r="H15" i="107" s="1"/>
  <c r="F14" i="107"/>
  <c r="F15" i="107" s="1"/>
  <c r="Q22" i="108"/>
  <c r="R15" i="108" s="1"/>
  <c r="P22" i="108"/>
  <c r="Q9" i="108"/>
  <c r="R5" i="108" s="1"/>
  <c r="D14" i="107"/>
  <c r="D2" i="108"/>
  <c r="P9" i="108"/>
  <c r="I14" i="107"/>
  <c r="I15" i="107" s="1"/>
  <c r="Q61" i="108"/>
  <c r="R53" i="108" s="1"/>
  <c r="P61" i="108"/>
  <c r="P38" i="108"/>
  <c r="K14" i="107"/>
  <c r="Q38" i="108"/>
  <c r="R30" i="108" s="1"/>
  <c r="M14" i="107"/>
  <c r="M15" i="107" s="1"/>
  <c r="Q75" i="108"/>
  <c r="R68" i="108" s="1"/>
  <c r="P75" i="108"/>
  <c r="G14" i="107"/>
  <c r="G15" i="107" s="1"/>
  <c r="P29" i="108"/>
  <c r="Q29" i="108"/>
  <c r="R23" i="108" s="1"/>
  <c r="AF30" i="106"/>
  <c r="AG24" i="106" s="1"/>
  <c r="AE30" i="106"/>
  <c r="N30" i="106"/>
  <c r="I14" i="105"/>
  <c r="I15" i="105" s="1"/>
  <c r="Q62" i="106"/>
  <c r="R54" i="106" s="1"/>
  <c r="P62" i="106"/>
  <c r="M14" i="105"/>
  <c r="M15" i="105" s="1"/>
  <c r="P78" i="106"/>
  <c r="Q78" i="106"/>
  <c r="R69" i="106" s="1"/>
  <c r="K15" i="105"/>
  <c r="N39" i="104"/>
  <c r="AF39" i="104"/>
  <c r="AE39" i="104"/>
  <c r="I3" i="103"/>
  <c r="F2" i="104"/>
  <c r="P9" i="104"/>
  <c r="Q9" i="104"/>
  <c r="N29" i="104"/>
  <c r="M35" i="104"/>
  <c r="AF29" i="104"/>
  <c r="AE29" i="104"/>
  <c r="N31" i="104"/>
  <c r="AF31" i="104"/>
  <c r="AE31" i="104"/>
  <c r="P38" i="104"/>
  <c r="Q38" i="104"/>
  <c r="Q45" i="104"/>
  <c r="P45" i="104"/>
  <c r="Q61" i="104"/>
  <c r="P61" i="104"/>
  <c r="N36" i="104"/>
  <c r="M42" i="104"/>
  <c r="AF36" i="104"/>
  <c r="AE36" i="104"/>
  <c r="N15" i="104"/>
  <c r="AF15" i="104"/>
  <c r="AE15" i="104"/>
  <c r="M21" i="104"/>
  <c r="Q40" i="104"/>
  <c r="P40" i="104"/>
  <c r="N41" i="104"/>
  <c r="AF41" i="104"/>
  <c r="AE41" i="104"/>
  <c r="AF52" i="104"/>
  <c r="AE52" i="104"/>
  <c r="N52" i="104"/>
  <c r="AF54" i="104"/>
  <c r="AE54" i="104"/>
  <c r="N54" i="104"/>
  <c r="Q63" i="104"/>
  <c r="P63" i="104"/>
  <c r="AF27" i="104"/>
  <c r="AE27" i="104"/>
  <c r="N27" i="104"/>
  <c r="N7" i="104"/>
  <c r="AF7" i="104"/>
  <c r="AE7" i="104"/>
  <c r="Q49" i="104"/>
  <c r="P49" i="104"/>
  <c r="N57" i="104"/>
  <c r="AF57" i="104"/>
  <c r="M62" i="104"/>
  <c r="AE57" i="104"/>
  <c r="P14" i="104"/>
  <c r="Q14" i="104"/>
  <c r="N32" i="104"/>
  <c r="AF32" i="104"/>
  <c r="AE32" i="104"/>
  <c r="M8" i="104"/>
  <c r="AF5" i="104"/>
  <c r="AE5" i="104"/>
  <c r="N5" i="104"/>
  <c r="N34" i="104"/>
  <c r="AF34" i="104"/>
  <c r="AE34" i="104"/>
  <c r="AF55" i="104"/>
  <c r="AE55" i="104"/>
  <c r="N55" i="104"/>
  <c r="N18" i="104"/>
  <c r="AF18" i="104"/>
  <c r="AE18" i="104"/>
  <c r="Q67" i="104"/>
  <c r="P67" i="104"/>
  <c r="P17" i="104"/>
  <c r="Q17" i="104"/>
  <c r="N11" i="104"/>
  <c r="AF11" i="104"/>
  <c r="AE11" i="104"/>
  <c r="N16" i="104"/>
  <c r="AF16" i="104"/>
  <c r="AE16" i="104"/>
  <c r="AF30" i="104"/>
  <c r="AE30" i="104"/>
  <c r="N30" i="104"/>
  <c r="P33" i="104"/>
  <c r="Q33" i="104"/>
  <c r="N10" i="104"/>
  <c r="AF10" i="104"/>
  <c r="AE10" i="104"/>
  <c r="N12" i="104"/>
  <c r="AF12" i="104"/>
  <c r="AE12" i="104"/>
  <c r="N58" i="104"/>
  <c r="AF58" i="104"/>
  <c r="AE58" i="104"/>
  <c r="Q64" i="104"/>
  <c r="P64" i="104"/>
  <c r="N60" i="104"/>
  <c r="AF60" i="104"/>
  <c r="AE60" i="104"/>
  <c r="AF24" i="104"/>
  <c r="AE24" i="104"/>
  <c r="N24" i="104"/>
  <c r="N37" i="104"/>
  <c r="AF37" i="104"/>
  <c r="AE37" i="104"/>
  <c r="Q19" i="104"/>
  <c r="P19" i="104"/>
  <c r="AF26" i="104"/>
  <c r="AE26" i="104"/>
  <c r="N26" i="104"/>
  <c r="N44" i="104"/>
  <c r="M47" i="104"/>
  <c r="AF44" i="104"/>
  <c r="AE44" i="104"/>
  <c r="AF6" i="104"/>
  <c r="AE6" i="104"/>
  <c r="N6" i="104"/>
  <c r="P59" i="104"/>
  <c r="Q59" i="104"/>
  <c r="AE49" i="104"/>
  <c r="AF50" i="104"/>
  <c r="AF66" i="104"/>
  <c r="AE67" i="104"/>
  <c r="AF68" i="104"/>
  <c r="AF49" i="104"/>
  <c r="AE63" i="104"/>
  <c r="AF67" i="104"/>
  <c r="N25" i="104"/>
  <c r="N53" i="104"/>
  <c r="AF63" i="104"/>
  <c r="M69" i="104"/>
  <c r="N22" i="104"/>
  <c r="N23" i="104"/>
  <c r="N48" i="104"/>
  <c r="N51" i="104"/>
  <c r="AE9" i="104"/>
  <c r="AE14" i="104"/>
  <c r="AE33" i="104"/>
  <c r="N50" i="104"/>
  <c r="N66" i="104"/>
  <c r="N68" i="104"/>
  <c r="AF9" i="104"/>
  <c r="AF14" i="104"/>
  <c r="AF33" i="104"/>
  <c r="M13" i="104"/>
  <c r="M28" i="104"/>
  <c r="M56" i="104"/>
  <c r="F6" i="103"/>
  <c r="AE22" i="104"/>
  <c r="AE23" i="104"/>
  <c r="AE48" i="104"/>
  <c r="AE51" i="104"/>
  <c r="E6" i="103"/>
  <c r="AD67" i="102"/>
  <c r="Z67" i="102"/>
  <c r="M19" i="101" s="1"/>
  <c r="Y67" i="102"/>
  <c r="O67" i="102"/>
  <c r="K67" i="102"/>
  <c r="V66" i="102"/>
  <c r="M66" i="102" s="1"/>
  <c r="U66" i="102"/>
  <c r="O66" i="102"/>
  <c r="K66" i="102"/>
  <c r="G66" i="102"/>
  <c r="V65" i="102"/>
  <c r="M65" i="102" s="1"/>
  <c r="U65" i="102"/>
  <c r="O65" i="102"/>
  <c r="K65" i="102"/>
  <c r="G65" i="102"/>
  <c r="V64" i="102"/>
  <c r="M64" i="102" s="1"/>
  <c r="U64" i="102"/>
  <c r="O64" i="102"/>
  <c r="K64" i="102"/>
  <c r="G64" i="102"/>
  <c r="V63" i="102"/>
  <c r="M63" i="102" s="1"/>
  <c r="U63" i="102"/>
  <c r="O63" i="102"/>
  <c r="K63" i="102"/>
  <c r="G63" i="102"/>
  <c r="X62" i="102"/>
  <c r="W62" i="102"/>
  <c r="V62" i="102"/>
  <c r="O62" i="102"/>
  <c r="M62" i="102"/>
  <c r="K62" i="102"/>
  <c r="G62" i="102"/>
  <c r="AD61" i="102"/>
  <c r="J21" i="101" s="1"/>
  <c r="Z61" i="102"/>
  <c r="J19" i="101" s="1"/>
  <c r="Y61" i="102"/>
  <c r="J18" i="101" s="1"/>
  <c r="O61" i="102"/>
  <c r="K61" i="102"/>
  <c r="V60" i="102"/>
  <c r="U60" i="102"/>
  <c r="O60" i="102"/>
  <c r="M60" i="102"/>
  <c r="AF60" i="102" s="1"/>
  <c r="K60" i="102"/>
  <c r="G60" i="102"/>
  <c r="V59" i="102"/>
  <c r="M59" i="102" s="1"/>
  <c r="U59" i="102"/>
  <c r="O59" i="102"/>
  <c r="K59" i="102"/>
  <c r="G59" i="102"/>
  <c r="V58" i="102"/>
  <c r="M58" i="102" s="1"/>
  <c r="U58" i="102"/>
  <c r="O58" i="102"/>
  <c r="K58" i="102"/>
  <c r="G58" i="102"/>
  <c r="V57" i="102"/>
  <c r="M57" i="102" s="1"/>
  <c r="U57" i="102"/>
  <c r="O57" i="102"/>
  <c r="K57" i="102"/>
  <c r="G57" i="102"/>
  <c r="V56" i="102"/>
  <c r="O56" i="102"/>
  <c r="M56" i="102"/>
  <c r="K56" i="102"/>
  <c r="G56" i="102"/>
  <c r="AD55" i="102"/>
  <c r="I21" i="101" s="1"/>
  <c r="Z55" i="102"/>
  <c r="I19" i="101" s="1"/>
  <c r="Y55" i="102"/>
  <c r="O55" i="102"/>
  <c r="K55" i="102"/>
  <c r="I13" i="101" s="1"/>
  <c r="V54" i="102"/>
  <c r="U54" i="102"/>
  <c r="O54" i="102"/>
  <c r="M54" i="102"/>
  <c r="AF54" i="102" s="1"/>
  <c r="K54" i="102"/>
  <c r="G54" i="102"/>
  <c r="V53" i="102"/>
  <c r="U53" i="102"/>
  <c r="O53" i="102"/>
  <c r="M53" i="102"/>
  <c r="K53" i="102"/>
  <c r="G53" i="102"/>
  <c r="V52" i="102"/>
  <c r="M52" i="102" s="1"/>
  <c r="U52" i="102"/>
  <c r="O52" i="102"/>
  <c r="K52" i="102"/>
  <c r="G52" i="102"/>
  <c r="V51" i="102"/>
  <c r="U51" i="102"/>
  <c r="O51" i="102"/>
  <c r="M51" i="102"/>
  <c r="AF51" i="102" s="1"/>
  <c r="K51" i="102"/>
  <c r="G51" i="102"/>
  <c r="V50" i="102"/>
  <c r="M50" i="102" s="1"/>
  <c r="U50" i="102"/>
  <c r="O50" i="102"/>
  <c r="K50" i="102"/>
  <c r="G50" i="102"/>
  <c r="X49" i="102"/>
  <c r="W49" i="102"/>
  <c r="V49" i="102"/>
  <c r="M49" i="102" s="1"/>
  <c r="U49" i="102"/>
  <c r="O49" i="102"/>
  <c r="K49" i="102"/>
  <c r="G49" i="102"/>
  <c r="V48" i="102"/>
  <c r="M48" i="102" s="1"/>
  <c r="O48" i="102"/>
  <c r="K48" i="102"/>
  <c r="G48" i="102"/>
  <c r="AD47" i="102"/>
  <c r="Z47" i="102"/>
  <c r="Y47" i="102"/>
  <c r="H18" i="101" s="1"/>
  <c r="O47" i="102"/>
  <c r="K47" i="102"/>
  <c r="V46" i="102"/>
  <c r="U46" i="102"/>
  <c r="O46" i="102"/>
  <c r="M46" i="102"/>
  <c r="K46" i="102"/>
  <c r="G46" i="102"/>
  <c r="V45" i="102"/>
  <c r="M45" i="102" s="1"/>
  <c r="U45" i="102"/>
  <c r="O45" i="102"/>
  <c r="K45" i="102"/>
  <c r="G45" i="102"/>
  <c r="V44" i="102"/>
  <c r="U44" i="102"/>
  <c r="O44" i="102"/>
  <c r="M44" i="102"/>
  <c r="AF44" i="102" s="1"/>
  <c r="K44" i="102"/>
  <c r="G44" i="102"/>
  <c r="AE43" i="102"/>
  <c r="X43" i="102"/>
  <c r="W43" i="102"/>
  <c r="V43" i="102"/>
  <c r="M43" i="102" s="1"/>
  <c r="O43" i="102"/>
  <c r="K43" i="102"/>
  <c r="G43" i="102"/>
  <c r="AD42" i="102"/>
  <c r="Z42" i="102"/>
  <c r="L19" i="101" s="1"/>
  <c r="Y42" i="102"/>
  <c r="O42" i="102"/>
  <c r="K42" i="102"/>
  <c r="V41" i="102"/>
  <c r="M41" i="102" s="1"/>
  <c r="U41" i="102"/>
  <c r="O41" i="102"/>
  <c r="K41" i="102"/>
  <c r="G41" i="102"/>
  <c r="X40" i="102"/>
  <c r="W40" i="102"/>
  <c r="V40" i="102"/>
  <c r="M40" i="102" s="1"/>
  <c r="U40" i="102"/>
  <c r="O40" i="102"/>
  <c r="K40" i="102"/>
  <c r="G40" i="102"/>
  <c r="V39" i="102"/>
  <c r="U39" i="102"/>
  <c r="O39" i="102"/>
  <c r="M39" i="102"/>
  <c r="AF39" i="102" s="1"/>
  <c r="K39" i="102"/>
  <c r="G39" i="102"/>
  <c r="V38" i="102"/>
  <c r="M38" i="102" s="1"/>
  <c r="U38" i="102"/>
  <c r="O38" i="102"/>
  <c r="K38" i="102"/>
  <c r="G38" i="102"/>
  <c r="V37" i="102"/>
  <c r="M37" i="102" s="1"/>
  <c r="U37" i="102"/>
  <c r="O37" i="102"/>
  <c r="K37" i="102"/>
  <c r="G37" i="102"/>
  <c r="X36" i="102"/>
  <c r="W36" i="102"/>
  <c r="V36" i="102"/>
  <c r="M36" i="102" s="1"/>
  <c r="O36" i="102"/>
  <c r="K36" i="102"/>
  <c r="G36" i="102"/>
  <c r="AD35" i="102"/>
  <c r="K21" i="101" s="1"/>
  <c r="Z35" i="102"/>
  <c r="K19" i="101" s="1"/>
  <c r="Y35" i="102"/>
  <c r="O35" i="102"/>
  <c r="K35" i="102"/>
  <c r="V34" i="102"/>
  <c r="U34" i="102"/>
  <c r="O34" i="102"/>
  <c r="M34" i="102"/>
  <c r="K34" i="102"/>
  <c r="G34" i="102"/>
  <c r="V33" i="102"/>
  <c r="M33" i="102" s="1"/>
  <c r="U33" i="102"/>
  <c r="O33" i="102"/>
  <c r="K33" i="102"/>
  <c r="G33" i="102"/>
  <c r="V32" i="102"/>
  <c r="U32" i="102"/>
  <c r="O32" i="102"/>
  <c r="M32" i="102"/>
  <c r="AF32" i="102" s="1"/>
  <c r="K32" i="102"/>
  <c r="G32" i="102"/>
  <c r="V31" i="102"/>
  <c r="M31" i="102" s="1"/>
  <c r="U31" i="102"/>
  <c r="O31" i="102"/>
  <c r="K31" i="102"/>
  <c r="G31" i="102"/>
  <c r="X30" i="102"/>
  <c r="W30" i="102"/>
  <c r="V30" i="102"/>
  <c r="O30" i="102"/>
  <c r="M30" i="102"/>
  <c r="K30" i="102"/>
  <c r="G30" i="102"/>
  <c r="AD29" i="102"/>
  <c r="Z29" i="102"/>
  <c r="Y29" i="102"/>
  <c r="O29" i="102"/>
  <c r="K29" i="102"/>
  <c r="G13" i="101" s="1"/>
  <c r="V28" i="102"/>
  <c r="U28" i="102"/>
  <c r="O28" i="102"/>
  <c r="M28" i="102"/>
  <c r="AF28" i="102" s="1"/>
  <c r="K28" i="102"/>
  <c r="G28" i="102"/>
  <c r="V27" i="102"/>
  <c r="U27" i="102"/>
  <c r="O27" i="102"/>
  <c r="M27" i="102"/>
  <c r="K27" i="102"/>
  <c r="G27" i="102"/>
  <c r="V26" i="102"/>
  <c r="M26" i="102" s="1"/>
  <c r="U26" i="102"/>
  <c r="O26" i="102"/>
  <c r="K26" i="102"/>
  <c r="G26" i="102"/>
  <c r="V25" i="102"/>
  <c r="U25" i="102"/>
  <c r="O25" i="102"/>
  <c r="M25" i="102"/>
  <c r="AF25" i="102" s="1"/>
  <c r="K25" i="102"/>
  <c r="G25" i="102"/>
  <c r="V24" i="102"/>
  <c r="M24" i="102" s="1"/>
  <c r="U24" i="102"/>
  <c r="O24" i="102"/>
  <c r="K24" i="102"/>
  <c r="G24" i="102"/>
  <c r="V23" i="102"/>
  <c r="M23" i="102" s="1"/>
  <c r="U23" i="102"/>
  <c r="O23" i="102"/>
  <c r="K23" i="102"/>
  <c r="G23" i="102"/>
  <c r="V22" i="102"/>
  <c r="M22" i="102" s="1"/>
  <c r="O22" i="102"/>
  <c r="K22" i="102"/>
  <c r="G22" i="102"/>
  <c r="AD21" i="102"/>
  <c r="Z21" i="102"/>
  <c r="F19" i="101" s="1"/>
  <c r="Y21" i="102"/>
  <c r="O21" i="102"/>
  <c r="K21" i="102"/>
  <c r="V20" i="102"/>
  <c r="M20" i="102" s="1"/>
  <c r="U20" i="102"/>
  <c r="O20" i="102"/>
  <c r="K20" i="102"/>
  <c r="G20" i="102"/>
  <c r="V19" i="102"/>
  <c r="U19" i="102"/>
  <c r="O19" i="102"/>
  <c r="M19" i="102"/>
  <c r="AF19" i="102" s="1"/>
  <c r="K19" i="102"/>
  <c r="G19" i="102"/>
  <c r="V18" i="102"/>
  <c r="U18" i="102"/>
  <c r="O18" i="102"/>
  <c r="M18" i="102"/>
  <c r="K18" i="102"/>
  <c r="G18" i="102"/>
  <c r="V17" i="102"/>
  <c r="M17" i="102" s="1"/>
  <c r="U17" i="102"/>
  <c r="O17" i="102"/>
  <c r="K17" i="102"/>
  <c r="G17" i="102"/>
  <c r="V16" i="102"/>
  <c r="U16" i="102"/>
  <c r="O16" i="102"/>
  <c r="M16" i="102"/>
  <c r="AF16" i="102" s="1"/>
  <c r="K16" i="102"/>
  <c r="G16" i="102"/>
  <c r="V15" i="102"/>
  <c r="M15" i="102" s="1"/>
  <c r="U15" i="102"/>
  <c r="O15" i="102"/>
  <c r="K15" i="102"/>
  <c r="G15" i="102"/>
  <c r="X14" i="102"/>
  <c r="W14" i="102"/>
  <c r="V14" i="102"/>
  <c r="O14" i="102"/>
  <c r="M14" i="102"/>
  <c r="K14" i="102"/>
  <c r="G14" i="102"/>
  <c r="AD13" i="102"/>
  <c r="E21" i="101" s="1"/>
  <c r="Z13" i="102"/>
  <c r="E19" i="101" s="1"/>
  <c r="Y13" i="102"/>
  <c r="O13" i="102"/>
  <c r="K13" i="102"/>
  <c r="V12" i="102"/>
  <c r="U12" i="102"/>
  <c r="O12" i="102"/>
  <c r="M12" i="102"/>
  <c r="AF12" i="102" s="1"/>
  <c r="K12" i="102"/>
  <c r="G12" i="102"/>
  <c r="AF11" i="102"/>
  <c r="AE11" i="102"/>
  <c r="X11" i="102"/>
  <c r="W11" i="102"/>
  <c r="V11" i="102"/>
  <c r="U11" i="102"/>
  <c r="O11" i="102"/>
  <c r="M11" i="102"/>
  <c r="N11" i="102" s="1"/>
  <c r="K11" i="102"/>
  <c r="G11" i="102"/>
  <c r="V10" i="102"/>
  <c r="M10" i="102" s="1"/>
  <c r="U10" i="102"/>
  <c r="O10" i="102"/>
  <c r="K10" i="102"/>
  <c r="G10" i="102"/>
  <c r="X9" i="102"/>
  <c r="W9" i="102"/>
  <c r="V9" i="102"/>
  <c r="O9" i="102"/>
  <c r="M9" i="102"/>
  <c r="K9" i="102"/>
  <c r="G9" i="102"/>
  <c r="AD8" i="102"/>
  <c r="AD2" i="102" s="1"/>
  <c r="N6" i="101" s="1"/>
  <c r="Z8" i="102"/>
  <c r="Z2" i="102" s="1"/>
  <c r="L6" i="101" s="1"/>
  <c r="Y8" i="102"/>
  <c r="O8" i="102"/>
  <c r="K8" i="102"/>
  <c r="D13" i="101" s="1"/>
  <c r="V7" i="102"/>
  <c r="U7" i="102"/>
  <c r="O7" i="102"/>
  <c r="M7" i="102"/>
  <c r="AF7" i="102" s="1"/>
  <c r="K7" i="102"/>
  <c r="G7" i="102"/>
  <c r="V6" i="102"/>
  <c r="U6" i="102"/>
  <c r="O6" i="102"/>
  <c r="M6" i="102"/>
  <c r="K6" i="102"/>
  <c r="G6" i="102"/>
  <c r="V5" i="102"/>
  <c r="M5" i="102" s="1"/>
  <c r="O5" i="102"/>
  <c r="K5" i="102"/>
  <c r="G5" i="102"/>
  <c r="H2" i="102"/>
  <c r="H1" i="102"/>
  <c r="D1" i="102"/>
  <c r="M22" i="101"/>
  <c r="L22" i="101"/>
  <c r="K22" i="101"/>
  <c r="J22" i="101"/>
  <c r="I22" i="101"/>
  <c r="H22" i="101"/>
  <c r="G22" i="101"/>
  <c r="F22" i="101"/>
  <c r="E22" i="101"/>
  <c r="D22" i="101"/>
  <c r="M21" i="101"/>
  <c r="L21" i="101"/>
  <c r="H21" i="101"/>
  <c r="G21" i="101"/>
  <c r="F21" i="101"/>
  <c r="M20" i="101"/>
  <c r="L20" i="101"/>
  <c r="K20" i="101"/>
  <c r="J20" i="101"/>
  <c r="I20" i="101"/>
  <c r="H20" i="101"/>
  <c r="G20" i="101"/>
  <c r="F20" i="101"/>
  <c r="E20" i="101"/>
  <c r="D20" i="101"/>
  <c r="H19" i="101"/>
  <c r="G19" i="101"/>
  <c r="M18" i="101"/>
  <c r="L18" i="101"/>
  <c r="K18" i="101"/>
  <c r="I18" i="101"/>
  <c r="G18" i="101"/>
  <c r="F18" i="101"/>
  <c r="E18" i="101"/>
  <c r="D18" i="101"/>
  <c r="M17" i="101"/>
  <c r="L17" i="101"/>
  <c r="K17" i="101"/>
  <c r="J17" i="101"/>
  <c r="I17" i="101"/>
  <c r="H17" i="101"/>
  <c r="G17" i="101"/>
  <c r="F17" i="101"/>
  <c r="E17" i="101"/>
  <c r="D17" i="101"/>
  <c r="M16" i="101"/>
  <c r="L16" i="101"/>
  <c r="K16" i="101"/>
  <c r="J16" i="101"/>
  <c r="I16" i="101"/>
  <c r="H16" i="101"/>
  <c r="G16" i="101"/>
  <c r="F16" i="101"/>
  <c r="E16" i="101"/>
  <c r="D16" i="101"/>
  <c r="M13" i="101"/>
  <c r="L13" i="101"/>
  <c r="K13" i="101"/>
  <c r="I6" i="101" s="1"/>
  <c r="J13" i="101"/>
  <c r="H13" i="101"/>
  <c r="F13" i="101"/>
  <c r="E13" i="101"/>
  <c r="M6" i="101"/>
  <c r="F3" i="101"/>
  <c r="C3" i="101"/>
  <c r="F7" i="107" l="1"/>
  <c r="G7" i="107"/>
  <c r="D15" i="107"/>
  <c r="E7" i="107"/>
  <c r="I7" i="107"/>
  <c r="K15" i="107"/>
  <c r="I8" i="107" s="1"/>
  <c r="I7" i="105"/>
  <c r="P30" i="106"/>
  <c r="Q30" i="106"/>
  <c r="R24" i="106" s="1"/>
  <c r="G14" i="105"/>
  <c r="D2" i="106"/>
  <c r="I8" i="105"/>
  <c r="Q68" i="104"/>
  <c r="P68" i="104"/>
  <c r="Q53" i="104"/>
  <c r="P53" i="104"/>
  <c r="Q6" i="104"/>
  <c r="P6" i="104"/>
  <c r="N42" i="104"/>
  <c r="AF42" i="104"/>
  <c r="AG36" i="104" s="1"/>
  <c r="AE42" i="104"/>
  <c r="Q30" i="104"/>
  <c r="P30" i="104"/>
  <c r="Q66" i="104"/>
  <c r="P66" i="104"/>
  <c r="Q25" i="104"/>
  <c r="P25" i="104"/>
  <c r="Q58" i="104"/>
  <c r="P58" i="104"/>
  <c r="Q18" i="104"/>
  <c r="P18" i="104"/>
  <c r="Q7" i="104"/>
  <c r="P7" i="104"/>
  <c r="Q36" i="104"/>
  <c r="P36" i="104"/>
  <c r="N35" i="104"/>
  <c r="AF35" i="104"/>
  <c r="AG29" i="104" s="1"/>
  <c r="AE35" i="104"/>
  <c r="Q50" i="104"/>
  <c r="P50" i="104"/>
  <c r="Q37" i="104"/>
  <c r="P37" i="104"/>
  <c r="Q55" i="104"/>
  <c r="P55" i="104"/>
  <c r="Q32" i="104"/>
  <c r="P32" i="104"/>
  <c r="Q27" i="104"/>
  <c r="P27" i="104"/>
  <c r="Q29" i="104"/>
  <c r="P29" i="104"/>
  <c r="Q52" i="104"/>
  <c r="P52" i="104"/>
  <c r="Q24" i="104"/>
  <c r="P24" i="104"/>
  <c r="Q16" i="104"/>
  <c r="P16" i="104"/>
  <c r="Q41" i="104"/>
  <c r="P41" i="104"/>
  <c r="Q12" i="104"/>
  <c r="P12" i="104"/>
  <c r="AE47" i="104"/>
  <c r="N47" i="104"/>
  <c r="AF47" i="104"/>
  <c r="AG43" i="104" s="1"/>
  <c r="Q31" i="104"/>
  <c r="P31" i="104"/>
  <c r="N56" i="104"/>
  <c r="AF56" i="104"/>
  <c r="AG48" i="104" s="1"/>
  <c r="AE56" i="104"/>
  <c r="Q51" i="104"/>
  <c r="P51" i="104"/>
  <c r="Q44" i="104"/>
  <c r="P44" i="104"/>
  <c r="Q11" i="104"/>
  <c r="P11" i="104"/>
  <c r="N62" i="104"/>
  <c r="AF62" i="104"/>
  <c r="AG57" i="104" s="1"/>
  <c r="AE62" i="104"/>
  <c r="AE21" i="104"/>
  <c r="N21" i="104"/>
  <c r="AF21" i="104"/>
  <c r="AG14" i="104" s="1"/>
  <c r="AF69" i="104"/>
  <c r="AG63" i="104" s="1"/>
  <c r="AE69" i="104"/>
  <c r="N69" i="104"/>
  <c r="N8" i="104"/>
  <c r="AF8" i="104"/>
  <c r="AG5" i="104" s="1"/>
  <c r="AE8" i="104"/>
  <c r="N28" i="104"/>
  <c r="AF28" i="104"/>
  <c r="AG22" i="104" s="1"/>
  <c r="AE28" i="104"/>
  <c r="Q48" i="104"/>
  <c r="P48" i="104"/>
  <c r="Q26" i="104"/>
  <c r="P26" i="104"/>
  <c r="Q10" i="104"/>
  <c r="P10" i="104"/>
  <c r="Q34" i="104"/>
  <c r="P34" i="104"/>
  <c r="Q54" i="104"/>
  <c r="P54" i="104"/>
  <c r="N13" i="104"/>
  <c r="AF13" i="104"/>
  <c r="AG9" i="104" s="1"/>
  <c r="AE13" i="104"/>
  <c r="Q23" i="104"/>
  <c r="P23" i="104"/>
  <c r="Q60" i="104"/>
  <c r="P60" i="104"/>
  <c r="Q5" i="104"/>
  <c r="P5" i="104"/>
  <c r="Q57" i="104"/>
  <c r="P57" i="104"/>
  <c r="Q22" i="104"/>
  <c r="P22" i="104"/>
  <c r="Q15" i="104"/>
  <c r="P15" i="104"/>
  <c r="Q39" i="104"/>
  <c r="P39" i="104"/>
  <c r="F6" i="101"/>
  <c r="E6" i="101"/>
  <c r="G6" i="101"/>
  <c r="N64" i="102"/>
  <c r="AE64" i="102"/>
  <c r="AF27" i="102"/>
  <c r="N27" i="102"/>
  <c r="AE27" i="102"/>
  <c r="AF40" i="102"/>
  <c r="AE40" i="102"/>
  <c r="N40" i="102"/>
  <c r="AE34" i="102"/>
  <c r="N34" i="102"/>
  <c r="AF34" i="102"/>
  <c r="N57" i="102"/>
  <c r="AE57" i="102"/>
  <c r="AF17" i="102"/>
  <c r="AE17" i="102"/>
  <c r="N17" i="102"/>
  <c r="N48" i="102"/>
  <c r="M55" i="102"/>
  <c r="AF48" i="102"/>
  <c r="AE48" i="102"/>
  <c r="AF50" i="102"/>
  <c r="AE50" i="102"/>
  <c r="N50" i="102"/>
  <c r="Q11" i="102"/>
  <c r="P11" i="102"/>
  <c r="AF15" i="102"/>
  <c r="AE15" i="102"/>
  <c r="N15" i="102"/>
  <c r="N22" i="102"/>
  <c r="AF22" i="102"/>
  <c r="M29" i="102"/>
  <c r="AE22" i="102"/>
  <c r="AF45" i="102"/>
  <c r="AE45" i="102"/>
  <c r="N45" i="102"/>
  <c r="AF52" i="102"/>
  <c r="AE52" i="102"/>
  <c r="N52" i="102"/>
  <c r="N56" i="102"/>
  <c r="AF56" i="102"/>
  <c r="M61" i="102"/>
  <c r="AF59" i="102"/>
  <c r="AE59" i="102"/>
  <c r="N59" i="102"/>
  <c r="AF66" i="102"/>
  <c r="AE66" i="102"/>
  <c r="N66" i="102"/>
  <c r="AF49" i="102"/>
  <c r="AE49" i="102"/>
  <c r="N49" i="102"/>
  <c r="N20" i="102"/>
  <c r="AE20" i="102"/>
  <c r="AF20" i="102"/>
  <c r="AF57" i="102"/>
  <c r="AF37" i="102"/>
  <c r="AE37" i="102"/>
  <c r="N37" i="102"/>
  <c r="AF14" i="102"/>
  <c r="AE14" i="102"/>
  <c r="N14" i="102"/>
  <c r="M21" i="102"/>
  <c r="AF24" i="102"/>
  <c r="AE24" i="102"/>
  <c r="N24" i="102"/>
  <c r="AF31" i="102"/>
  <c r="AE31" i="102"/>
  <c r="N31" i="102"/>
  <c r="N41" i="102"/>
  <c r="AF41" i="102"/>
  <c r="AE41" i="102"/>
  <c r="M67" i="102"/>
  <c r="N62" i="102"/>
  <c r="AE62" i="102"/>
  <c r="AF62" i="102"/>
  <c r="AE18" i="102"/>
  <c r="N18" i="102"/>
  <c r="AF18" i="102"/>
  <c r="Y2" i="102"/>
  <c r="K6" i="101" s="1"/>
  <c r="AF38" i="102"/>
  <c r="AE38" i="102"/>
  <c r="N38" i="102"/>
  <c r="AF65" i="102"/>
  <c r="AE65" i="102"/>
  <c r="N65" i="102"/>
  <c r="N36" i="102"/>
  <c r="M42" i="102"/>
  <c r="AF36" i="102"/>
  <c r="AE36" i="102"/>
  <c r="AF63" i="102"/>
  <c r="N63" i="102"/>
  <c r="AE63" i="102"/>
  <c r="AF30" i="102"/>
  <c r="AE30" i="102"/>
  <c r="N30" i="102"/>
  <c r="M35" i="102"/>
  <c r="N43" i="102"/>
  <c r="AF43" i="102"/>
  <c r="M47" i="102"/>
  <c r="AF10" i="102"/>
  <c r="AE10" i="102"/>
  <c r="N10" i="102"/>
  <c r="AF23" i="102"/>
  <c r="AE23" i="102"/>
  <c r="N23" i="102"/>
  <c r="AF64" i="102"/>
  <c r="AF58" i="102"/>
  <c r="AE58" i="102"/>
  <c r="N58" i="102"/>
  <c r="AF5" i="102"/>
  <c r="AE5" i="102"/>
  <c r="N5" i="102"/>
  <c r="M8" i="102"/>
  <c r="AF9" i="102"/>
  <c r="AE9" i="102"/>
  <c r="N9" i="102"/>
  <c r="M13" i="102"/>
  <c r="AF6" i="102"/>
  <c r="AE6" i="102"/>
  <c r="N6" i="102"/>
  <c r="AF46" i="102"/>
  <c r="N46" i="102"/>
  <c r="AE46" i="102"/>
  <c r="N53" i="102"/>
  <c r="AF53" i="102"/>
  <c r="AE53" i="102"/>
  <c r="AE56" i="102"/>
  <c r="AF26" i="102"/>
  <c r="AE26" i="102"/>
  <c r="N26" i="102"/>
  <c r="F1" i="102"/>
  <c r="AF33" i="102"/>
  <c r="AE33" i="102"/>
  <c r="N33" i="102"/>
  <c r="N7" i="102"/>
  <c r="N12" i="102"/>
  <c r="N19" i="102"/>
  <c r="N28" i="102"/>
  <c r="N54" i="102"/>
  <c r="D19" i="101"/>
  <c r="D21" i="101"/>
  <c r="AE7" i="102"/>
  <c r="AE12" i="102"/>
  <c r="AE19" i="102"/>
  <c r="AE28" i="102"/>
  <c r="AE54" i="102"/>
  <c r="N16" i="102"/>
  <c r="N25" i="102"/>
  <c r="N32" i="102"/>
  <c r="N39" i="102"/>
  <c r="N44" i="102"/>
  <c r="N51" i="102"/>
  <c r="N60" i="102"/>
  <c r="AE16" i="102"/>
  <c r="AE25" i="102"/>
  <c r="AE32" i="102"/>
  <c r="AE39" i="102"/>
  <c r="AE44" i="102"/>
  <c r="AE51" i="102"/>
  <c r="AE60" i="102"/>
  <c r="AD75" i="100"/>
  <c r="Z75" i="100"/>
  <c r="Y75" i="100"/>
  <c r="O75" i="100"/>
  <c r="K75" i="100"/>
  <c r="V74" i="100"/>
  <c r="U74" i="100"/>
  <c r="O74" i="100"/>
  <c r="M74" i="100"/>
  <c r="AE74" i="100" s="1"/>
  <c r="K74" i="100"/>
  <c r="G74" i="100"/>
  <c r="AF73" i="100"/>
  <c r="AE73" i="100"/>
  <c r="V73" i="100"/>
  <c r="U73" i="100"/>
  <c r="O73" i="100"/>
  <c r="M73" i="100"/>
  <c r="N73" i="100" s="1"/>
  <c r="K73" i="100"/>
  <c r="G73" i="100"/>
  <c r="AF72" i="100"/>
  <c r="AE72" i="100"/>
  <c r="X72" i="100"/>
  <c r="W72" i="100"/>
  <c r="V72" i="100"/>
  <c r="U72" i="100"/>
  <c r="O72" i="100"/>
  <c r="M72" i="100"/>
  <c r="N72" i="100" s="1"/>
  <c r="K72" i="100"/>
  <c r="G72" i="100"/>
  <c r="AF71" i="100"/>
  <c r="AE71" i="100"/>
  <c r="V71" i="100"/>
  <c r="U71" i="100"/>
  <c r="O71" i="100"/>
  <c r="M71" i="100"/>
  <c r="N71" i="100" s="1"/>
  <c r="K71" i="100"/>
  <c r="G71" i="100"/>
  <c r="V70" i="100"/>
  <c r="M70" i="100" s="1"/>
  <c r="U70" i="100"/>
  <c r="O70" i="100"/>
  <c r="K70" i="100"/>
  <c r="G70" i="100"/>
  <c r="V69" i="100"/>
  <c r="M69" i="100" s="1"/>
  <c r="U69" i="100"/>
  <c r="O69" i="100"/>
  <c r="K69" i="100"/>
  <c r="G69" i="100"/>
  <c r="AF68" i="100"/>
  <c r="AE68" i="100"/>
  <c r="X68" i="100"/>
  <c r="W68" i="100"/>
  <c r="V68" i="100"/>
  <c r="O68" i="100"/>
  <c r="M68" i="100"/>
  <c r="N68" i="100" s="1"/>
  <c r="K68" i="100"/>
  <c r="G68" i="100"/>
  <c r="AD67" i="100"/>
  <c r="Z67" i="100"/>
  <c r="Y67" i="100"/>
  <c r="O67" i="100"/>
  <c r="K67" i="100"/>
  <c r="V66" i="100"/>
  <c r="M66" i="100" s="1"/>
  <c r="U66" i="100"/>
  <c r="O66" i="100"/>
  <c r="K66" i="100"/>
  <c r="G66" i="100"/>
  <c r="V65" i="100"/>
  <c r="M65" i="100" s="1"/>
  <c r="U65" i="100"/>
  <c r="O65" i="100"/>
  <c r="K65" i="100"/>
  <c r="G65" i="100"/>
  <c r="V64" i="100"/>
  <c r="M64" i="100" s="1"/>
  <c r="U64" i="100"/>
  <c r="O64" i="100"/>
  <c r="K64" i="100"/>
  <c r="G64" i="100"/>
  <c r="V63" i="100"/>
  <c r="M63" i="100" s="1"/>
  <c r="U63" i="100"/>
  <c r="O63" i="100"/>
  <c r="K63" i="100"/>
  <c r="G63" i="100"/>
  <c r="V62" i="100"/>
  <c r="M62" i="100" s="1"/>
  <c r="O62" i="100"/>
  <c r="K62" i="100"/>
  <c r="G62" i="100"/>
  <c r="AD61" i="100"/>
  <c r="Z61" i="100"/>
  <c r="Y61" i="100"/>
  <c r="O61" i="100"/>
  <c r="K61" i="100"/>
  <c r="V60" i="100"/>
  <c r="U60" i="100"/>
  <c r="Q60" i="100"/>
  <c r="O60" i="100"/>
  <c r="N60" i="100"/>
  <c r="P60" i="100" s="1"/>
  <c r="M60" i="100"/>
  <c r="AF60" i="100" s="1"/>
  <c r="K60" i="100"/>
  <c r="G60" i="100"/>
  <c r="V59" i="100"/>
  <c r="U59" i="100"/>
  <c r="O59" i="100"/>
  <c r="N59" i="100"/>
  <c r="Q59" i="100" s="1"/>
  <c r="M59" i="100"/>
  <c r="AF59" i="100" s="1"/>
  <c r="K59" i="100"/>
  <c r="G59" i="100"/>
  <c r="V58" i="100"/>
  <c r="U58" i="100"/>
  <c r="O58" i="100"/>
  <c r="M58" i="100"/>
  <c r="AF58" i="100" s="1"/>
  <c r="K58" i="100"/>
  <c r="G58" i="100"/>
  <c r="V57" i="100"/>
  <c r="U57" i="100"/>
  <c r="P57" i="100"/>
  <c r="O57" i="100"/>
  <c r="N57" i="100"/>
  <c r="Q57" i="100" s="1"/>
  <c r="M57" i="100"/>
  <c r="AF57" i="100" s="1"/>
  <c r="K57" i="100"/>
  <c r="G57" i="100"/>
  <c r="V56" i="100"/>
  <c r="U56" i="100"/>
  <c r="O56" i="100"/>
  <c r="M56" i="100"/>
  <c r="AE56" i="100" s="1"/>
  <c r="K56" i="100"/>
  <c r="G56" i="100"/>
  <c r="X55" i="100"/>
  <c r="W55" i="100"/>
  <c r="V55" i="100"/>
  <c r="M55" i="100" s="1"/>
  <c r="U55" i="100"/>
  <c r="O55" i="100"/>
  <c r="K55" i="100"/>
  <c r="G55" i="100"/>
  <c r="V54" i="100"/>
  <c r="M54" i="100" s="1"/>
  <c r="O54" i="100"/>
  <c r="K54" i="100"/>
  <c r="G54" i="100"/>
  <c r="AD53" i="100"/>
  <c r="Z53" i="100"/>
  <c r="Y53" i="100"/>
  <c r="O53" i="100"/>
  <c r="K53" i="100"/>
  <c r="V52" i="100"/>
  <c r="U52" i="100"/>
  <c r="O52" i="100"/>
  <c r="N52" i="100"/>
  <c r="Q52" i="100" s="1"/>
  <c r="M52" i="100"/>
  <c r="AF52" i="100" s="1"/>
  <c r="K52" i="100"/>
  <c r="G52" i="100"/>
  <c r="V51" i="100"/>
  <c r="U51" i="100"/>
  <c r="O51" i="100"/>
  <c r="M51" i="100"/>
  <c r="N51" i="100" s="1"/>
  <c r="K51" i="100"/>
  <c r="G51" i="100"/>
  <c r="V50" i="100"/>
  <c r="M50" i="100" s="1"/>
  <c r="U50" i="100"/>
  <c r="O50" i="100"/>
  <c r="K50" i="100"/>
  <c r="G50" i="100"/>
  <c r="AE49" i="100"/>
  <c r="X49" i="100"/>
  <c r="W49" i="100"/>
  <c r="V49" i="100"/>
  <c r="O49" i="100"/>
  <c r="N49" i="100"/>
  <c r="Q49" i="100" s="1"/>
  <c r="M49" i="100"/>
  <c r="M53" i="100" s="1"/>
  <c r="K49" i="100"/>
  <c r="G49" i="100"/>
  <c r="AD48" i="100"/>
  <c r="Z48" i="100"/>
  <c r="Y48" i="100"/>
  <c r="O48" i="100"/>
  <c r="K48" i="100"/>
  <c r="V47" i="100"/>
  <c r="M47" i="100" s="1"/>
  <c r="U47" i="100"/>
  <c r="O47" i="100"/>
  <c r="K47" i="100"/>
  <c r="G47" i="100"/>
  <c r="V46" i="100"/>
  <c r="M46" i="100" s="1"/>
  <c r="U46" i="100"/>
  <c r="O46" i="100"/>
  <c r="K46" i="100"/>
  <c r="G46" i="100"/>
  <c r="AF45" i="100"/>
  <c r="AE45" i="100"/>
  <c r="V45" i="100"/>
  <c r="U45" i="100"/>
  <c r="O45" i="100"/>
  <c r="M45" i="100"/>
  <c r="N45" i="100" s="1"/>
  <c r="K45" i="100"/>
  <c r="G45" i="100"/>
  <c r="X44" i="100"/>
  <c r="W44" i="100"/>
  <c r="V44" i="100"/>
  <c r="M44" i="100" s="1"/>
  <c r="U44" i="100"/>
  <c r="O44" i="100"/>
  <c r="K44" i="100"/>
  <c r="G44" i="100"/>
  <c r="AF43" i="100"/>
  <c r="AE43" i="100"/>
  <c r="V43" i="100"/>
  <c r="U43" i="100"/>
  <c r="O43" i="100"/>
  <c r="M43" i="100"/>
  <c r="N43" i="100" s="1"/>
  <c r="K43" i="100"/>
  <c r="G43" i="100"/>
  <c r="V42" i="100"/>
  <c r="M42" i="100" s="1"/>
  <c r="U42" i="100"/>
  <c r="O42" i="100"/>
  <c r="K42" i="100"/>
  <c r="G42" i="100"/>
  <c r="V41" i="100"/>
  <c r="M41" i="100" s="1"/>
  <c r="U41" i="100"/>
  <c r="O41" i="100"/>
  <c r="K41" i="100"/>
  <c r="G41" i="100"/>
  <c r="AF40" i="100"/>
  <c r="AE40" i="100"/>
  <c r="X40" i="100"/>
  <c r="W40" i="100"/>
  <c r="V40" i="100"/>
  <c r="O40" i="100"/>
  <c r="M40" i="100"/>
  <c r="N40" i="100" s="1"/>
  <c r="K40" i="100"/>
  <c r="G40" i="100"/>
  <c r="AD39" i="100"/>
  <c r="Z39" i="100"/>
  <c r="Y39" i="100"/>
  <c r="O39" i="100"/>
  <c r="K39" i="100"/>
  <c r="V38" i="100"/>
  <c r="M38" i="100" s="1"/>
  <c r="U38" i="100"/>
  <c r="O38" i="100"/>
  <c r="K38" i="100"/>
  <c r="G38" i="100"/>
  <c r="V37" i="100"/>
  <c r="M37" i="100" s="1"/>
  <c r="U37" i="100"/>
  <c r="O37" i="100"/>
  <c r="K37" i="100"/>
  <c r="G37" i="100"/>
  <c r="V36" i="100"/>
  <c r="U36" i="100"/>
  <c r="O36" i="100"/>
  <c r="N36" i="100"/>
  <c r="Q36" i="100" s="1"/>
  <c r="M36" i="100"/>
  <c r="AF36" i="100" s="1"/>
  <c r="K36" i="100"/>
  <c r="G36" i="100"/>
  <c r="X35" i="100"/>
  <c r="W35" i="100"/>
  <c r="V35" i="100"/>
  <c r="M35" i="100" s="1"/>
  <c r="U35" i="100"/>
  <c r="O35" i="100"/>
  <c r="K35" i="100"/>
  <c r="G35" i="100"/>
  <c r="V34" i="100"/>
  <c r="U34" i="100"/>
  <c r="O34" i="100"/>
  <c r="N34" i="100"/>
  <c r="Q34" i="100" s="1"/>
  <c r="M34" i="100"/>
  <c r="AF34" i="100" s="1"/>
  <c r="K34" i="100"/>
  <c r="G34" i="100"/>
  <c r="V33" i="100"/>
  <c r="M33" i="100" s="1"/>
  <c r="U33" i="100"/>
  <c r="O33" i="100"/>
  <c r="K33" i="100"/>
  <c r="G33" i="100"/>
  <c r="V32" i="100"/>
  <c r="M32" i="100" s="1"/>
  <c r="U32" i="100"/>
  <c r="O32" i="100"/>
  <c r="K32" i="100"/>
  <c r="G32" i="100"/>
  <c r="X31" i="100"/>
  <c r="W31" i="100"/>
  <c r="V31" i="100"/>
  <c r="M31" i="100" s="1"/>
  <c r="O31" i="100"/>
  <c r="K31" i="100"/>
  <c r="G31" i="100"/>
  <c r="AD30" i="100"/>
  <c r="Z30" i="100"/>
  <c r="Y30" i="100"/>
  <c r="O30" i="100"/>
  <c r="K30" i="100"/>
  <c r="V29" i="100"/>
  <c r="M29" i="100" s="1"/>
  <c r="U29" i="100"/>
  <c r="O29" i="100"/>
  <c r="K29" i="100"/>
  <c r="G29" i="100"/>
  <c r="X28" i="100"/>
  <c r="W28" i="100"/>
  <c r="V28" i="100"/>
  <c r="M28" i="100" s="1"/>
  <c r="U28" i="100"/>
  <c r="O28" i="100"/>
  <c r="K28" i="100"/>
  <c r="G28" i="100"/>
  <c r="V27" i="100"/>
  <c r="M27" i="100" s="1"/>
  <c r="U27" i="100"/>
  <c r="O27" i="100"/>
  <c r="K27" i="100"/>
  <c r="G27" i="100"/>
  <c r="V26" i="100"/>
  <c r="U26" i="100"/>
  <c r="O26" i="100"/>
  <c r="M26" i="100"/>
  <c r="AE26" i="100" s="1"/>
  <c r="K26" i="100"/>
  <c r="G26" i="100"/>
  <c r="AF25" i="100"/>
  <c r="V25" i="100"/>
  <c r="U25" i="100"/>
  <c r="Q25" i="100"/>
  <c r="P25" i="100"/>
  <c r="O25" i="100"/>
  <c r="N25" i="100"/>
  <c r="M25" i="100"/>
  <c r="AE25" i="100" s="1"/>
  <c r="K25" i="100"/>
  <c r="G25" i="100"/>
  <c r="V24" i="100"/>
  <c r="U24" i="100"/>
  <c r="O24" i="100"/>
  <c r="M24" i="100"/>
  <c r="N24" i="100" s="1"/>
  <c r="K24" i="100"/>
  <c r="G24" i="100"/>
  <c r="V23" i="100"/>
  <c r="M23" i="100" s="1"/>
  <c r="U23" i="100"/>
  <c r="O23" i="100"/>
  <c r="K23" i="100"/>
  <c r="G23" i="100"/>
  <c r="V22" i="100"/>
  <c r="M22" i="100" s="1"/>
  <c r="O22" i="100"/>
  <c r="K22" i="100"/>
  <c r="G22" i="100"/>
  <c r="AD21" i="100"/>
  <c r="Z21" i="100"/>
  <c r="Y21" i="100"/>
  <c r="O21" i="100"/>
  <c r="K21" i="100"/>
  <c r="V20" i="100"/>
  <c r="U20" i="100"/>
  <c r="O20" i="100"/>
  <c r="M20" i="100"/>
  <c r="N20" i="100" s="1"/>
  <c r="K20" i="100"/>
  <c r="G20" i="100"/>
  <c r="V19" i="100"/>
  <c r="M19" i="100" s="1"/>
  <c r="U19" i="100"/>
  <c r="O19" i="100"/>
  <c r="K19" i="100"/>
  <c r="G19" i="100"/>
  <c r="V18" i="100"/>
  <c r="M18" i="100" s="1"/>
  <c r="U18" i="100"/>
  <c r="O18" i="100"/>
  <c r="K18" i="100"/>
  <c r="G18" i="100"/>
  <c r="V17" i="100"/>
  <c r="M17" i="100" s="1"/>
  <c r="U17" i="100"/>
  <c r="O17" i="100"/>
  <c r="K17" i="100"/>
  <c r="G17" i="100"/>
  <c r="V16" i="100"/>
  <c r="M16" i="100" s="1"/>
  <c r="U16" i="100"/>
  <c r="O16" i="100"/>
  <c r="K16" i="100"/>
  <c r="G16" i="100"/>
  <c r="AE15" i="100"/>
  <c r="V15" i="100"/>
  <c r="U15" i="100"/>
  <c r="O15" i="100"/>
  <c r="M15" i="100"/>
  <c r="AF15" i="100" s="1"/>
  <c r="K15" i="100"/>
  <c r="G15" i="100"/>
  <c r="X14" i="100"/>
  <c r="W14" i="100"/>
  <c r="V14" i="100"/>
  <c r="M14" i="100" s="1"/>
  <c r="O14" i="100"/>
  <c r="K14" i="100"/>
  <c r="G14" i="100"/>
  <c r="AD13" i="100"/>
  <c r="Z13" i="100"/>
  <c r="Y13" i="100"/>
  <c r="O13" i="100"/>
  <c r="K13" i="100"/>
  <c r="V12" i="100"/>
  <c r="U12" i="100"/>
  <c r="O12" i="100"/>
  <c r="M12" i="100"/>
  <c r="AF12" i="100" s="1"/>
  <c r="K12" i="100"/>
  <c r="G12" i="100"/>
  <c r="X11" i="100"/>
  <c r="W11" i="100"/>
  <c r="V11" i="100"/>
  <c r="M11" i="100" s="1"/>
  <c r="U11" i="100"/>
  <c r="O11" i="100"/>
  <c r="K11" i="100"/>
  <c r="G11" i="100"/>
  <c r="V10" i="100"/>
  <c r="U10" i="100"/>
  <c r="O10" i="100"/>
  <c r="M10" i="100"/>
  <c r="AF10" i="100" s="1"/>
  <c r="K10" i="100"/>
  <c r="G10" i="100"/>
  <c r="X9" i="100"/>
  <c r="W9" i="100"/>
  <c r="V9" i="100"/>
  <c r="M9" i="100" s="1"/>
  <c r="O9" i="100"/>
  <c r="K9" i="100"/>
  <c r="G9" i="100"/>
  <c r="AD8" i="100"/>
  <c r="AD2" i="100" s="1"/>
  <c r="N6" i="99" s="1"/>
  <c r="Z8" i="100"/>
  <c r="Z2" i="100" s="1"/>
  <c r="L6" i="99" s="1"/>
  <c r="Y8" i="100"/>
  <c r="O8" i="100"/>
  <c r="K8" i="100"/>
  <c r="V7" i="100"/>
  <c r="U7" i="100"/>
  <c r="O7" i="100"/>
  <c r="M7" i="100"/>
  <c r="AF7" i="100" s="1"/>
  <c r="K7" i="100"/>
  <c r="G7" i="100"/>
  <c r="V6" i="100"/>
  <c r="M6" i="100" s="1"/>
  <c r="U6" i="100"/>
  <c r="O6" i="100"/>
  <c r="K6" i="100"/>
  <c r="G6" i="100"/>
  <c r="V5" i="100"/>
  <c r="M5" i="100" s="1"/>
  <c r="O5" i="100"/>
  <c r="K5" i="100"/>
  <c r="G5" i="100"/>
  <c r="AC2" i="100"/>
  <c r="Y2" i="100"/>
  <c r="H2" i="100"/>
  <c r="H1" i="100"/>
  <c r="F1" i="100"/>
  <c r="F2" i="100" s="1"/>
  <c r="D1" i="100"/>
  <c r="M22" i="99"/>
  <c r="L22" i="99"/>
  <c r="K22" i="99"/>
  <c r="J22" i="99"/>
  <c r="I22" i="99"/>
  <c r="H22" i="99"/>
  <c r="G22" i="99"/>
  <c r="F22" i="99"/>
  <c r="E22" i="99"/>
  <c r="D22" i="99"/>
  <c r="M21" i="99"/>
  <c r="L21" i="99"/>
  <c r="K21" i="99"/>
  <c r="J21" i="99"/>
  <c r="I21" i="99"/>
  <c r="H21" i="99"/>
  <c r="G21" i="99"/>
  <c r="F21" i="99"/>
  <c r="E21" i="99"/>
  <c r="D21" i="99"/>
  <c r="M20" i="99"/>
  <c r="L20" i="99"/>
  <c r="K20" i="99"/>
  <c r="J20" i="99"/>
  <c r="I20" i="99"/>
  <c r="H20" i="99"/>
  <c r="G20" i="99"/>
  <c r="F20" i="99"/>
  <c r="E20" i="99"/>
  <c r="D20" i="99"/>
  <c r="M19" i="99"/>
  <c r="L19" i="99"/>
  <c r="K19" i="99"/>
  <c r="J19" i="99"/>
  <c r="I19" i="99"/>
  <c r="H19" i="99"/>
  <c r="G19" i="99"/>
  <c r="F19" i="99"/>
  <c r="E19" i="99"/>
  <c r="D19" i="99"/>
  <c r="M18" i="99"/>
  <c r="L18" i="99"/>
  <c r="K18" i="99"/>
  <c r="J18" i="99"/>
  <c r="I18" i="99"/>
  <c r="H18" i="99"/>
  <c r="G18" i="99"/>
  <c r="F18" i="99"/>
  <c r="E18" i="99"/>
  <c r="D18" i="99"/>
  <c r="M17" i="99"/>
  <c r="L17" i="99"/>
  <c r="K17" i="99"/>
  <c r="J17" i="99"/>
  <c r="I17" i="99"/>
  <c r="H17" i="99"/>
  <c r="G17" i="99"/>
  <c r="F17" i="99"/>
  <c r="E17" i="99"/>
  <c r="D17" i="99"/>
  <c r="M16" i="99"/>
  <c r="L16" i="99"/>
  <c r="K16" i="99"/>
  <c r="J16" i="99"/>
  <c r="I16" i="99"/>
  <c r="H16" i="99"/>
  <c r="G16" i="99"/>
  <c r="F16" i="99"/>
  <c r="E16" i="99"/>
  <c r="D16" i="99"/>
  <c r="M13" i="99"/>
  <c r="L13" i="99"/>
  <c r="K13" i="99"/>
  <c r="I6" i="99" s="1"/>
  <c r="J13" i="99"/>
  <c r="I13" i="99"/>
  <c r="H13" i="99"/>
  <c r="F6" i="99" s="1"/>
  <c r="G13" i="99"/>
  <c r="F13" i="99"/>
  <c r="E13" i="99"/>
  <c r="D13" i="99"/>
  <c r="M6" i="99"/>
  <c r="K6" i="99"/>
  <c r="I3" i="99"/>
  <c r="F3" i="99"/>
  <c r="C3" i="99"/>
  <c r="G8" i="107" l="1"/>
  <c r="F8" i="107"/>
  <c r="E8" i="107"/>
  <c r="G15" i="105"/>
  <c r="F7" i="105"/>
  <c r="E7" i="105"/>
  <c r="G7" i="105"/>
  <c r="P8" i="104"/>
  <c r="D14" i="103"/>
  <c r="D2" i="104"/>
  <c r="Q8" i="104"/>
  <c r="R5" i="104" s="1"/>
  <c r="Q35" i="104"/>
  <c r="R29" i="104" s="1"/>
  <c r="P35" i="104"/>
  <c r="K14" i="103"/>
  <c r="F14" i="103"/>
  <c r="F15" i="103" s="1"/>
  <c r="Q21" i="104"/>
  <c r="R14" i="104" s="1"/>
  <c r="P21" i="104"/>
  <c r="L14" i="103"/>
  <c r="L15" i="103" s="1"/>
  <c r="Q42" i="104"/>
  <c r="R36" i="104" s="1"/>
  <c r="P42" i="104"/>
  <c r="I14" i="103"/>
  <c r="I15" i="103" s="1"/>
  <c r="Q56" i="104"/>
  <c r="R48" i="104" s="1"/>
  <c r="P56" i="104"/>
  <c r="P13" i="104"/>
  <c r="E14" i="103"/>
  <c r="E15" i="103" s="1"/>
  <c r="Q13" i="104"/>
  <c r="R9" i="104" s="1"/>
  <c r="G14" i="103"/>
  <c r="G15" i="103" s="1"/>
  <c r="Q28" i="104"/>
  <c r="R22" i="104" s="1"/>
  <c r="P28" i="104"/>
  <c r="J14" i="103"/>
  <c r="J15" i="103" s="1"/>
  <c r="Q62" i="104"/>
  <c r="R57" i="104" s="1"/>
  <c r="P62" i="104"/>
  <c r="M14" i="103"/>
  <c r="M15" i="103" s="1"/>
  <c r="Q69" i="104"/>
  <c r="R63" i="104" s="1"/>
  <c r="P69" i="104"/>
  <c r="H14" i="103"/>
  <c r="H15" i="103" s="1"/>
  <c r="Q47" i="104"/>
  <c r="R43" i="104" s="1"/>
  <c r="P47" i="104"/>
  <c r="P37" i="102"/>
  <c r="Q37" i="102"/>
  <c r="Q48" i="102"/>
  <c r="P48" i="102"/>
  <c r="Q28" i="102"/>
  <c r="P28" i="102"/>
  <c r="Q19" i="102"/>
  <c r="P19" i="102"/>
  <c r="N13" i="102"/>
  <c r="AE13" i="102"/>
  <c r="AF13" i="102"/>
  <c r="AG9" i="102" s="1"/>
  <c r="Q43" i="102"/>
  <c r="P43" i="102"/>
  <c r="P17" i="102"/>
  <c r="Q17" i="102"/>
  <c r="Q12" i="102"/>
  <c r="P12" i="102"/>
  <c r="Q9" i="102"/>
  <c r="P9" i="102"/>
  <c r="P45" i="102"/>
  <c r="Q45" i="102"/>
  <c r="Q7" i="102"/>
  <c r="P7" i="102"/>
  <c r="Q30" i="102"/>
  <c r="P30" i="102"/>
  <c r="P33" i="102"/>
  <c r="Q33" i="102"/>
  <c r="Q60" i="102"/>
  <c r="P60" i="102"/>
  <c r="N8" i="102"/>
  <c r="AF8" i="102"/>
  <c r="AG5" i="102" s="1"/>
  <c r="AE8" i="102"/>
  <c r="Q62" i="102"/>
  <c r="P62" i="102"/>
  <c r="Q57" i="102"/>
  <c r="P57" i="102"/>
  <c r="N29" i="102"/>
  <c r="AE29" i="102"/>
  <c r="AF29" i="102"/>
  <c r="AG22" i="102" s="1"/>
  <c r="F2" i="102"/>
  <c r="I3" i="101"/>
  <c r="Q63" i="102"/>
  <c r="P63" i="102"/>
  <c r="Q49" i="102"/>
  <c r="P49" i="102"/>
  <c r="Q22" i="102"/>
  <c r="P22" i="102"/>
  <c r="Q18" i="102"/>
  <c r="P18" i="102"/>
  <c r="AF35" i="102"/>
  <c r="AG30" i="102" s="1"/>
  <c r="AE35" i="102"/>
  <c r="N35" i="102"/>
  <c r="Q51" i="102"/>
  <c r="P51" i="102"/>
  <c r="Q5" i="102"/>
  <c r="P5" i="102"/>
  <c r="AF67" i="102"/>
  <c r="AG62" i="102" s="1"/>
  <c r="AE67" i="102"/>
  <c r="N67" i="102"/>
  <c r="Q20" i="102"/>
  <c r="P20" i="102"/>
  <c r="Q44" i="102"/>
  <c r="P44" i="102"/>
  <c r="Q34" i="102"/>
  <c r="P34" i="102"/>
  <c r="Q39" i="102"/>
  <c r="P39" i="102"/>
  <c r="P26" i="102"/>
  <c r="Q26" i="102"/>
  <c r="Q32" i="102"/>
  <c r="P32" i="102"/>
  <c r="P58" i="102"/>
  <c r="Q58" i="102"/>
  <c r="Q41" i="102"/>
  <c r="P41" i="102"/>
  <c r="Q15" i="102"/>
  <c r="P15" i="102"/>
  <c r="P40" i="102"/>
  <c r="Q40" i="102"/>
  <c r="Q25" i="102"/>
  <c r="P25" i="102"/>
  <c r="Q31" i="102"/>
  <c r="P31" i="102"/>
  <c r="Q66" i="102"/>
  <c r="P66" i="102"/>
  <c r="Q16" i="102"/>
  <c r="P16" i="102"/>
  <c r="AF42" i="102"/>
  <c r="AG36" i="102" s="1"/>
  <c r="AE42" i="102"/>
  <c r="N42" i="102"/>
  <c r="Q36" i="102"/>
  <c r="P36" i="102"/>
  <c r="P23" i="102"/>
  <c r="Q23" i="102"/>
  <c r="P65" i="102"/>
  <c r="Q65" i="102"/>
  <c r="Q24" i="102"/>
  <c r="P24" i="102"/>
  <c r="Q59" i="102"/>
  <c r="P59" i="102"/>
  <c r="Q27" i="102"/>
  <c r="P27" i="102"/>
  <c r="Q53" i="102"/>
  <c r="P53" i="102"/>
  <c r="Q50" i="102"/>
  <c r="P50" i="102"/>
  <c r="Q46" i="102"/>
  <c r="P46" i="102"/>
  <c r="Q10" i="102"/>
  <c r="P10" i="102"/>
  <c r="Q38" i="102"/>
  <c r="P38" i="102"/>
  <c r="AF21" i="102"/>
  <c r="AG14" i="102" s="1"/>
  <c r="AE21" i="102"/>
  <c r="N21" i="102"/>
  <c r="AF61" i="102"/>
  <c r="AG56" i="102" s="1"/>
  <c r="AE61" i="102"/>
  <c r="N61" i="102"/>
  <c r="Q64" i="102"/>
  <c r="P64" i="102"/>
  <c r="Q14" i="102"/>
  <c r="P14" i="102"/>
  <c r="Q6" i="102"/>
  <c r="P6" i="102"/>
  <c r="Q56" i="102"/>
  <c r="P56" i="102"/>
  <c r="Q54" i="102"/>
  <c r="P54" i="102"/>
  <c r="AF47" i="102"/>
  <c r="AG43" i="102" s="1"/>
  <c r="AE47" i="102"/>
  <c r="N47" i="102"/>
  <c r="P52" i="102"/>
  <c r="Q52" i="102"/>
  <c r="N55" i="102"/>
  <c r="AE55" i="102"/>
  <c r="AF55" i="102"/>
  <c r="AG48" i="102" s="1"/>
  <c r="N64" i="100"/>
  <c r="AF64" i="100"/>
  <c r="AE64" i="100"/>
  <c r="N55" i="100"/>
  <c r="AF55" i="100"/>
  <c r="AE55" i="100"/>
  <c r="AF27" i="100"/>
  <c r="AE27" i="100"/>
  <c r="N27" i="100"/>
  <c r="Q40" i="100"/>
  <c r="P40" i="100"/>
  <c r="N47" i="100"/>
  <c r="AF47" i="100"/>
  <c r="AE47" i="100"/>
  <c r="AF9" i="100"/>
  <c r="AE9" i="100"/>
  <c r="N9" i="100"/>
  <c r="M13" i="100"/>
  <c r="N44" i="100"/>
  <c r="AF44" i="100"/>
  <c r="AE44" i="100"/>
  <c r="AF5" i="100"/>
  <c r="AE5" i="100"/>
  <c r="N5" i="100"/>
  <c r="M8" i="100"/>
  <c r="Q43" i="100"/>
  <c r="P43" i="100"/>
  <c r="AF14" i="100"/>
  <c r="AE14" i="100"/>
  <c r="M21" i="100"/>
  <c r="N14" i="100"/>
  <c r="AF18" i="100"/>
  <c r="AE18" i="100"/>
  <c r="N18" i="100"/>
  <c r="N46" i="100"/>
  <c r="AF46" i="100"/>
  <c r="AE46" i="100"/>
  <c r="N50" i="100"/>
  <c r="AF50" i="100"/>
  <c r="AE50" i="100"/>
  <c r="Q71" i="100"/>
  <c r="P71" i="100"/>
  <c r="AF6" i="100"/>
  <c r="AE6" i="100"/>
  <c r="N6" i="100"/>
  <c r="Q51" i="100"/>
  <c r="P51" i="100"/>
  <c r="AF29" i="100"/>
  <c r="AE29" i="100"/>
  <c r="N29" i="100"/>
  <c r="N19" i="100"/>
  <c r="AF19" i="100"/>
  <c r="AE19" i="100"/>
  <c r="N63" i="100"/>
  <c r="AF63" i="100"/>
  <c r="AE63" i="100"/>
  <c r="AF11" i="100"/>
  <c r="AE11" i="100"/>
  <c r="N11" i="100"/>
  <c r="AE28" i="100"/>
  <c r="N28" i="100"/>
  <c r="AF28" i="100"/>
  <c r="N66" i="100"/>
  <c r="AF66" i="100"/>
  <c r="AE66" i="100"/>
  <c r="AF54" i="100"/>
  <c r="M61" i="100"/>
  <c r="AE54" i="100"/>
  <c r="N54" i="100"/>
  <c r="N23" i="100"/>
  <c r="AF23" i="100"/>
  <c r="AE23" i="100"/>
  <c r="AF31" i="100"/>
  <c r="AE31" i="100"/>
  <c r="M39" i="100"/>
  <c r="N31" i="100"/>
  <c r="AF33" i="100"/>
  <c r="AE33" i="100"/>
  <c r="N33" i="100"/>
  <c r="AF35" i="100"/>
  <c r="AE35" i="100"/>
  <c r="N35" i="100"/>
  <c r="AE53" i="100"/>
  <c r="N53" i="100"/>
  <c r="AF53" i="100"/>
  <c r="AG49" i="100" s="1"/>
  <c r="N62" i="100"/>
  <c r="AF62" i="100"/>
  <c r="M67" i="100"/>
  <c r="AE62" i="100"/>
  <c r="N69" i="100"/>
  <c r="AF69" i="100"/>
  <c r="M75" i="100"/>
  <c r="AE69" i="100"/>
  <c r="Q68" i="100"/>
  <c r="P68" i="100"/>
  <c r="Q73" i="100"/>
  <c r="P73" i="100"/>
  <c r="AF16" i="100"/>
  <c r="AE16" i="100"/>
  <c r="N16" i="100"/>
  <c r="Q45" i="100"/>
  <c r="P45" i="100"/>
  <c r="AF37" i="100"/>
  <c r="AE37" i="100"/>
  <c r="N37" i="100"/>
  <c r="AF41" i="100"/>
  <c r="AE41" i="100"/>
  <c r="N41" i="100"/>
  <c r="Q24" i="100"/>
  <c r="P24" i="100"/>
  <c r="N65" i="100"/>
  <c r="AF65" i="100"/>
  <c r="AE65" i="100"/>
  <c r="AF17" i="100"/>
  <c r="AE17" i="100"/>
  <c r="N17" i="100"/>
  <c r="Q20" i="100"/>
  <c r="P20" i="100"/>
  <c r="N22" i="100"/>
  <c r="AF22" i="100"/>
  <c r="AE22" i="100"/>
  <c r="M30" i="100"/>
  <c r="AF32" i="100"/>
  <c r="AE32" i="100"/>
  <c r="N32" i="100"/>
  <c r="AF38" i="100"/>
  <c r="AE38" i="100"/>
  <c r="N38" i="100"/>
  <c r="N42" i="100"/>
  <c r="AF42" i="100"/>
  <c r="AE42" i="100"/>
  <c r="Q72" i="100"/>
  <c r="P72" i="100"/>
  <c r="N70" i="100"/>
  <c r="AF70" i="100"/>
  <c r="AE70" i="100"/>
  <c r="AF26" i="100"/>
  <c r="AE52" i="100"/>
  <c r="AF56" i="100"/>
  <c r="AF74" i="100"/>
  <c r="E6" i="99"/>
  <c r="G6" i="99"/>
  <c r="AE24" i="100"/>
  <c r="AE51" i="100"/>
  <c r="AF24" i="100"/>
  <c r="AF51" i="100"/>
  <c r="N7" i="100"/>
  <c r="N10" i="100"/>
  <c r="N12" i="100"/>
  <c r="N15" i="100"/>
  <c r="AF49" i="100"/>
  <c r="N58" i="100"/>
  <c r="AE20" i="100"/>
  <c r="P34" i="100"/>
  <c r="P36" i="100"/>
  <c r="P59" i="100"/>
  <c r="AF20" i="100"/>
  <c r="N26" i="100"/>
  <c r="M48" i="100"/>
  <c r="N56" i="100"/>
  <c r="N74" i="100"/>
  <c r="AE60" i="100"/>
  <c r="AE34" i="100"/>
  <c r="AE36" i="100"/>
  <c r="P49" i="100"/>
  <c r="P52" i="100"/>
  <c r="AE59" i="100"/>
  <c r="AE7" i="100"/>
  <c r="AE10" i="100"/>
  <c r="AE12" i="100"/>
  <c r="AE58" i="100"/>
  <c r="AE57" i="100"/>
  <c r="X54" i="98"/>
  <c r="W54" i="98"/>
  <c r="AD75" i="98"/>
  <c r="Z75" i="98"/>
  <c r="M19" i="97" s="1"/>
  <c r="Y75" i="98"/>
  <c r="O75" i="98"/>
  <c r="M75" i="98"/>
  <c r="K75" i="98"/>
  <c r="AF74" i="98"/>
  <c r="V74" i="98"/>
  <c r="U74" i="98"/>
  <c r="O74" i="98"/>
  <c r="M74" i="98"/>
  <c r="AE74" i="98" s="1"/>
  <c r="K74" i="98"/>
  <c r="G74" i="98"/>
  <c r="AF73" i="98"/>
  <c r="AE73" i="98"/>
  <c r="V73" i="98"/>
  <c r="U73" i="98"/>
  <c r="O73" i="98"/>
  <c r="M73" i="98"/>
  <c r="N73" i="98" s="1"/>
  <c r="K73" i="98"/>
  <c r="G73" i="98"/>
  <c r="AF72" i="98"/>
  <c r="AE72" i="98"/>
  <c r="V72" i="98"/>
  <c r="M72" i="98" s="1"/>
  <c r="N72" i="98" s="1"/>
  <c r="U72" i="98"/>
  <c r="O72" i="98"/>
  <c r="K72" i="98"/>
  <c r="G72" i="98"/>
  <c r="AF71" i="98"/>
  <c r="AE71" i="98"/>
  <c r="X71" i="98"/>
  <c r="W71" i="98"/>
  <c r="V71" i="98"/>
  <c r="U71" i="98"/>
  <c r="O71" i="98"/>
  <c r="M71" i="98"/>
  <c r="N71" i="98" s="1"/>
  <c r="K71" i="98"/>
  <c r="G71" i="98"/>
  <c r="AF70" i="98"/>
  <c r="AE70" i="98"/>
  <c r="V70" i="98"/>
  <c r="M70" i="98" s="1"/>
  <c r="N70" i="98" s="1"/>
  <c r="U70" i="98"/>
  <c r="O70" i="98"/>
  <c r="K70" i="98"/>
  <c r="G70" i="98"/>
  <c r="AE69" i="98"/>
  <c r="V69" i="98"/>
  <c r="M69" i="98" s="1"/>
  <c r="U69" i="98"/>
  <c r="O69" i="98"/>
  <c r="K69" i="98"/>
  <c r="G69" i="98"/>
  <c r="V68" i="98"/>
  <c r="M68" i="98" s="1"/>
  <c r="U68" i="98"/>
  <c r="O68" i="98"/>
  <c r="K68" i="98"/>
  <c r="G68" i="98"/>
  <c r="X67" i="98"/>
  <c r="W67" i="98"/>
  <c r="V67" i="98"/>
  <c r="M67" i="98" s="1"/>
  <c r="O67" i="98"/>
  <c r="K67" i="98"/>
  <c r="G67" i="98"/>
  <c r="AD66" i="98"/>
  <c r="J21" i="97" s="1"/>
  <c r="Z66" i="98"/>
  <c r="J19" i="97" s="1"/>
  <c r="Y66" i="98"/>
  <c r="O66" i="98"/>
  <c r="K66" i="98"/>
  <c r="V65" i="98"/>
  <c r="M65" i="98" s="1"/>
  <c r="U65" i="98"/>
  <c r="O65" i="98"/>
  <c r="K65" i="98"/>
  <c r="G65" i="98"/>
  <c r="V64" i="98"/>
  <c r="M64" i="98" s="1"/>
  <c r="U64" i="98"/>
  <c r="O64" i="98"/>
  <c r="K64" i="98"/>
  <c r="G64" i="98"/>
  <c r="V63" i="98"/>
  <c r="M63" i="98" s="1"/>
  <c r="U63" i="98"/>
  <c r="O63" i="98"/>
  <c r="K63" i="98"/>
  <c r="G63" i="98"/>
  <c r="V62" i="98"/>
  <c r="M62" i="98" s="1"/>
  <c r="U62" i="98"/>
  <c r="P62" i="98"/>
  <c r="O62" i="98"/>
  <c r="N62" i="98"/>
  <c r="Q62" i="98" s="1"/>
  <c r="K62" i="98"/>
  <c r="G62" i="98"/>
  <c r="V61" i="98"/>
  <c r="M61" i="98" s="1"/>
  <c r="P61" i="98"/>
  <c r="O61" i="98"/>
  <c r="N61" i="98"/>
  <c r="Q61" i="98" s="1"/>
  <c r="K61" i="98"/>
  <c r="G61" i="98"/>
  <c r="AD60" i="98"/>
  <c r="Z60" i="98"/>
  <c r="I19" i="97" s="1"/>
  <c r="Y60" i="98"/>
  <c r="I18" i="97" s="1"/>
  <c r="O60" i="98"/>
  <c r="N60" i="98"/>
  <c r="P60" i="98" s="1"/>
  <c r="K60" i="98"/>
  <c r="V59" i="98"/>
  <c r="U59" i="98"/>
  <c r="O59" i="98"/>
  <c r="N59" i="98"/>
  <c r="M59" i="98"/>
  <c r="K59" i="98"/>
  <c r="G59" i="98"/>
  <c r="V58" i="98"/>
  <c r="U58" i="98"/>
  <c r="O58" i="98"/>
  <c r="M58" i="98"/>
  <c r="K58" i="98"/>
  <c r="G58" i="98"/>
  <c r="V57" i="98"/>
  <c r="U57" i="98"/>
  <c r="O57" i="98"/>
  <c r="M57" i="98"/>
  <c r="AF57" i="98" s="1"/>
  <c r="K57" i="98"/>
  <c r="G57" i="98"/>
  <c r="AF56" i="98"/>
  <c r="V56" i="98"/>
  <c r="U56" i="98"/>
  <c r="O56" i="98"/>
  <c r="M56" i="98"/>
  <c r="AE56" i="98" s="1"/>
  <c r="K56" i="98"/>
  <c r="G56" i="98"/>
  <c r="AF55" i="98"/>
  <c r="AE55" i="98"/>
  <c r="V55" i="98"/>
  <c r="U55" i="98"/>
  <c r="O55" i="98"/>
  <c r="M55" i="98"/>
  <c r="N55" i="98" s="1"/>
  <c r="K55" i="98"/>
  <c r="G55" i="98"/>
  <c r="AF54" i="98"/>
  <c r="AE54" i="98"/>
  <c r="V54" i="98"/>
  <c r="M54" i="98" s="1"/>
  <c r="N54" i="98" s="1"/>
  <c r="U54" i="98"/>
  <c r="O54" i="98"/>
  <c r="K54" i="98"/>
  <c r="G54" i="98"/>
  <c r="AF53" i="98"/>
  <c r="AE53" i="98"/>
  <c r="V53" i="98"/>
  <c r="O53" i="98"/>
  <c r="M53" i="98"/>
  <c r="M60" i="98" s="1"/>
  <c r="K53" i="98"/>
  <c r="G53" i="98"/>
  <c r="AD52" i="98"/>
  <c r="Z52" i="98"/>
  <c r="Y52" i="98"/>
  <c r="O52" i="98"/>
  <c r="K52" i="98"/>
  <c r="AF51" i="98"/>
  <c r="AE51" i="98"/>
  <c r="V51" i="98"/>
  <c r="M51" i="98" s="1"/>
  <c r="N51" i="98" s="1"/>
  <c r="U51" i="98"/>
  <c r="O51" i="98"/>
  <c r="K51" i="98"/>
  <c r="G51" i="98"/>
  <c r="AE50" i="98"/>
  <c r="V50" i="98"/>
  <c r="M50" i="98" s="1"/>
  <c r="U50" i="98"/>
  <c r="O50" i="98"/>
  <c r="K50" i="98"/>
  <c r="G50" i="98"/>
  <c r="V49" i="98"/>
  <c r="M49" i="98" s="1"/>
  <c r="U49" i="98"/>
  <c r="O49" i="98"/>
  <c r="K49" i="98"/>
  <c r="G49" i="98"/>
  <c r="X48" i="98"/>
  <c r="W48" i="98"/>
  <c r="V48" i="98"/>
  <c r="M48" i="98" s="1"/>
  <c r="O48" i="98"/>
  <c r="K48" i="98"/>
  <c r="G48" i="98"/>
  <c r="AD47" i="98"/>
  <c r="L21" i="97" s="1"/>
  <c r="Z47" i="98"/>
  <c r="L19" i="97" s="1"/>
  <c r="Y47" i="98"/>
  <c r="O47" i="98"/>
  <c r="K47" i="98"/>
  <c r="V46" i="98"/>
  <c r="M46" i="98" s="1"/>
  <c r="U46" i="98"/>
  <c r="O46" i="98"/>
  <c r="K46" i="98"/>
  <c r="G46" i="98"/>
  <c r="V45" i="98"/>
  <c r="M45" i="98" s="1"/>
  <c r="U45" i="98"/>
  <c r="O45" i="98"/>
  <c r="K45" i="98"/>
  <c r="G45" i="98"/>
  <c r="V44" i="98"/>
  <c r="M44" i="98" s="1"/>
  <c r="U44" i="98"/>
  <c r="O44" i="98"/>
  <c r="K44" i="98"/>
  <c r="G44" i="98"/>
  <c r="X43" i="98"/>
  <c r="W43" i="98"/>
  <c r="V43" i="98"/>
  <c r="M43" i="98" s="1"/>
  <c r="U43" i="98"/>
  <c r="O43" i="98"/>
  <c r="K43" i="98"/>
  <c r="G43" i="98"/>
  <c r="V42" i="98"/>
  <c r="M42" i="98" s="1"/>
  <c r="U42" i="98"/>
  <c r="O42" i="98"/>
  <c r="K42" i="98"/>
  <c r="G42" i="98"/>
  <c r="V41" i="98"/>
  <c r="M41" i="98" s="1"/>
  <c r="U41" i="98"/>
  <c r="Q41" i="98"/>
  <c r="P41" i="98"/>
  <c r="O41" i="98"/>
  <c r="N41" i="98"/>
  <c r="K41" i="98"/>
  <c r="G41" i="98"/>
  <c r="V40" i="98"/>
  <c r="U40" i="98"/>
  <c r="P40" i="98"/>
  <c r="O40" i="98"/>
  <c r="N40" i="98"/>
  <c r="Q40" i="98" s="1"/>
  <c r="M40" i="98"/>
  <c r="K40" i="98"/>
  <c r="G40" i="98"/>
  <c r="X39" i="98"/>
  <c r="W39" i="98"/>
  <c r="V39" i="98"/>
  <c r="M39" i="98" s="1"/>
  <c r="O39" i="98"/>
  <c r="K39" i="98"/>
  <c r="G39" i="98"/>
  <c r="AD38" i="98"/>
  <c r="Z38" i="98"/>
  <c r="K19" i="97" s="1"/>
  <c r="Y38" i="98"/>
  <c r="K18" i="97" s="1"/>
  <c r="O38" i="98"/>
  <c r="K38" i="98"/>
  <c r="V37" i="98"/>
  <c r="U37" i="98"/>
  <c r="P37" i="98"/>
  <c r="O37" i="98"/>
  <c r="N37" i="98"/>
  <c r="Q37" i="98" s="1"/>
  <c r="M37" i="98"/>
  <c r="K37" i="98"/>
  <c r="G37" i="98"/>
  <c r="V36" i="98"/>
  <c r="U36" i="98"/>
  <c r="O36" i="98"/>
  <c r="N36" i="98"/>
  <c r="M36" i="98"/>
  <c r="K36" i="98"/>
  <c r="G36" i="98"/>
  <c r="V35" i="98"/>
  <c r="U35" i="98"/>
  <c r="O35" i="98"/>
  <c r="N35" i="98"/>
  <c r="M35" i="98"/>
  <c r="K35" i="98"/>
  <c r="G35" i="98"/>
  <c r="X34" i="98"/>
  <c r="W34" i="98"/>
  <c r="V34" i="98"/>
  <c r="U34" i="98"/>
  <c r="O34" i="98"/>
  <c r="N34" i="98"/>
  <c r="M34" i="98"/>
  <c r="K34" i="98"/>
  <c r="G34" i="98"/>
  <c r="V33" i="98"/>
  <c r="U33" i="98"/>
  <c r="O33" i="98"/>
  <c r="N33" i="98"/>
  <c r="M33" i="98"/>
  <c r="K33" i="98"/>
  <c r="G33" i="98"/>
  <c r="V32" i="98"/>
  <c r="U32" i="98"/>
  <c r="O32" i="98"/>
  <c r="M32" i="98"/>
  <c r="K32" i="98"/>
  <c r="G32" i="98"/>
  <c r="AF31" i="98"/>
  <c r="V31" i="98"/>
  <c r="U31" i="98"/>
  <c r="O31" i="98"/>
  <c r="M31" i="98"/>
  <c r="AE31" i="98" s="1"/>
  <c r="K31" i="98"/>
  <c r="G31" i="98"/>
  <c r="AF30" i="98"/>
  <c r="X30" i="98"/>
  <c r="W30" i="98"/>
  <c r="V30" i="98"/>
  <c r="O30" i="98"/>
  <c r="N30" i="98"/>
  <c r="M30" i="98"/>
  <c r="K30" i="98"/>
  <c r="G30" i="98"/>
  <c r="AD29" i="98"/>
  <c r="Z29" i="98"/>
  <c r="Y29" i="98"/>
  <c r="O29" i="98"/>
  <c r="M29" i="98"/>
  <c r="N29" i="98" s="1"/>
  <c r="G14" i="97" s="1"/>
  <c r="G15" i="97" s="1"/>
  <c r="K29" i="98"/>
  <c r="G13" i="97" s="1"/>
  <c r="AF28" i="98"/>
  <c r="V28" i="98"/>
  <c r="U28" i="98"/>
  <c r="O28" i="98"/>
  <c r="M28" i="98"/>
  <c r="AE28" i="98" s="1"/>
  <c r="K28" i="98"/>
  <c r="G28" i="98"/>
  <c r="AF27" i="98"/>
  <c r="AE27" i="98"/>
  <c r="X27" i="98"/>
  <c r="W27" i="98"/>
  <c r="V27" i="98"/>
  <c r="U27" i="98"/>
  <c r="O27" i="98"/>
  <c r="M27" i="98"/>
  <c r="N27" i="98" s="1"/>
  <c r="K27" i="98"/>
  <c r="G27" i="98"/>
  <c r="AF26" i="98"/>
  <c r="V26" i="98"/>
  <c r="U26" i="98"/>
  <c r="O26" i="98"/>
  <c r="M26" i="98"/>
  <c r="AE26" i="98" s="1"/>
  <c r="K26" i="98"/>
  <c r="G26" i="98"/>
  <c r="AF25" i="98"/>
  <c r="AE25" i="98"/>
  <c r="V25" i="98"/>
  <c r="U25" i="98"/>
  <c r="O25" i="98"/>
  <c r="M25" i="98"/>
  <c r="N25" i="98" s="1"/>
  <c r="K25" i="98"/>
  <c r="G25" i="98"/>
  <c r="AF24" i="98"/>
  <c r="AE24" i="98"/>
  <c r="V24" i="98"/>
  <c r="M24" i="98" s="1"/>
  <c r="N24" i="98" s="1"/>
  <c r="U24" i="98"/>
  <c r="O24" i="98"/>
  <c r="K24" i="98"/>
  <c r="G24" i="98"/>
  <c r="AF23" i="98"/>
  <c r="AE23" i="98"/>
  <c r="V23" i="98"/>
  <c r="M23" i="98" s="1"/>
  <c r="N23" i="98" s="1"/>
  <c r="U23" i="98"/>
  <c r="O23" i="98"/>
  <c r="K23" i="98"/>
  <c r="G23" i="98"/>
  <c r="AE22" i="98"/>
  <c r="V22" i="98"/>
  <c r="M22" i="98" s="1"/>
  <c r="U22" i="98"/>
  <c r="O22" i="98"/>
  <c r="K22" i="98"/>
  <c r="G22" i="98"/>
  <c r="AE21" i="98"/>
  <c r="V21" i="98"/>
  <c r="M21" i="98" s="1"/>
  <c r="O21" i="98"/>
  <c r="K21" i="98"/>
  <c r="G21" i="98"/>
  <c r="AD20" i="98"/>
  <c r="Z20" i="98"/>
  <c r="F19" i="97" s="1"/>
  <c r="Y20" i="98"/>
  <c r="F18" i="97" s="1"/>
  <c r="O20" i="98"/>
  <c r="K20" i="98"/>
  <c r="V19" i="98"/>
  <c r="M19" i="98" s="1"/>
  <c r="U19" i="98"/>
  <c r="O19" i="98"/>
  <c r="K19" i="98"/>
  <c r="G19" i="98"/>
  <c r="V18" i="98"/>
  <c r="M18" i="98" s="1"/>
  <c r="U18" i="98"/>
  <c r="O18" i="98"/>
  <c r="N18" i="98"/>
  <c r="Q18" i="98" s="1"/>
  <c r="K18" i="98"/>
  <c r="G18" i="98"/>
  <c r="V17" i="98"/>
  <c r="U17" i="98"/>
  <c r="P17" i="98"/>
  <c r="O17" i="98"/>
  <c r="N17" i="98"/>
  <c r="Q17" i="98" s="1"/>
  <c r="M17" i="98"/>
  <c r="K17" i="98"/>
  <c r="G17" i="98"/>
  <c r="V16" i="98"/>
  <c r="U16" i="98"/>
  <c r="O16" i="98"/>
  <c r="N16" i="98"/>
  <c r="M16" i="98"/>
  <c r="K16" i="98"/>
  <c r="G16" i="98"/>
  <c r="V15" i="98"/>
  <c r="U15" i="98"/>
  <c r="O15" i="98"/>
  <c r="N15" i="98"/>
  <c r="M15" i="98"/>
  <c r="K15" i="98"/>
  <c r="G15" i="98"/>
  <c r="V14" i="98"/>
  <c r="U14" i="98"/>
  <c r="O14" i="98"/>
  <c r="M14" i="98"/>
  <c r="K14" i="98"/>
  <c r="G14" i="98"/>
  <c r="X13" i="98"/>
  <c r="W13" i="98"/>
  <c r="V13" i="98"/>
  <c r="O13" i="98"/>
  <c r="N13" i="98"/>
  <c r="M13" i="98"/>
  <c r="K13" i="98"/>
  <c r="G13" i="98"/>
  <c r="AD12" i="98"/>
  <c r="E21" i="97" s="1"/>
  <c r="Z12" i="98"/>
  <c r="Y12" i="98"/>
  <c r="O12" i="98"/>
  <c r="N12" i="98"/>
  <c r="E14" i="97" s="1"/>
  <c r="E15" i="97" s="1"/>
  <c r="M12" i="98"/>
  <c r="K12" i="98"/>
  <c r="V11" i="98"/>
  <c r="U11" i="98"/>
  <c r="O11" i="98"/>
  <c r="M11" i="98"/>
  <c r="K11" i="98"/>
  <c r="G11" i="98"/>
  <c r="AF10" i="98"/>
  <c r="V10" i="98"/>
  <c r="U10" i="98"/>
  <c r="O10" i="98"/>
  <c r="M10" i="98"/>
  <c r="AE10" i="98" s="1"/>
  <c r="K10" i="98"/>
  <c r="G10" i="98"/>
  <c r="AF9" i="98"/>
  <c r="X9" i="98"/>
  <c r="W9" i="98"/>
  <c r="V9" i="98"/>
  <c r="O9" i="98"/>
  <c r="N9" i="98"/>
  <c r="M9" i="98"/>
  <c r="AE9" i="98" s="1"/>
  <c r="K9" i="98"/>
  <c r="G9" i="98"/>
  <c r="AD8" i="98"/>
  <c r="Z8" i="98"/>
  <c r="Y8" i="98"/>
  <c r="O8" i="98"/>
  <c r="N8" i="98"/>
  <c r="M8" i="98"/>
  <c r="K8" i="98"/>
  <c r="AF7" i="98"/>
  <c r="V7" i="98"/>
  <c r="U7" i="98"/>
  <c r="O7" i="98"/>
  <c r="M7" i="98"/>
  <c r="AE7" i="98" s="1"/>
  <c r="K7" i="98"/>
  <c r="G7" i="98"/>
  <c r="AF6" i="98"/>
  <c r="AE6" i="98"/>
  <c r="V6" i="98"/>
  <c r="U6" i="98"/>
  <c r="O6" i="98"/>
  <c r="M6" i="98"/>
  <c r="N6" i="98" s="1"/>
  <c r="K6" i="98"/>
  <c r="G6" i="98"/>
  <c r="AF5" i="98"/>
  <c r="AE5" i="98"/>
  <c r="V5" i="98"/>
  <c r="O5" i="98"/>
  <c r="M5" i="98"/>
  <c r="N5" i="98" s="1"/>
  <c r="K5" i="98"/>
  <c r="G5" i="98"/>
  <c r="F1" i="98" s="1"/>
  <c r="F2" i="98" s="1"/>
  <c r="AD2" i="98"/>
  <c r="N6" i="97" s="1"/>
  <c r="Z2" i="98"/>
  <c r="Y2" i="98"/>
  <c r="H2" i="98"/>
  <c r="H1" i="98"/>
  <c r="D1" i="98"/>
  <c r="M22" i="97"/>
  <c r="L22" i="97"/>
  <c r="K22" i="97"/>
  <c r="J22" i="97"/>
  <c r="I22" i="97"/>
  <c r="H22" i="97"/>
  <c r="G22" i="97"/>
  <c r="F22" i="97"/>
  <c r="E22" i="97"/>
  <c r="D22" i="97"/>
  <c r="M21" i="97"/>
  <c r="K21" i="97"/>
  <c r="I21" i="97"/>
  <c r="H21" i="97"/>
  <c r="G21" i="97"/>
  <c r="F21" i="97"/>
  <c r="D21" i="97"/>
  <c r="M20" i="97"/>
  <c r="L20" i="97"/>
  <c r="K20" i="97"/>
  <c r="J20" i="97"/>
  <c r="I20" i="97"/>
  <c r="H20" i="97"/>
  <c r="G20" i="97"/>
  <c r="F20" i="97"/>
  <c r="E20" i="97"/>
  <c r="D20" i="97"/>
  <c r="H19" i="97"/>
  <c r="G19" i="97"/>
  <c r="E19" i="97"/>
  <c r="D19" i="97"/>
  <c r="M18" i="97"/>
  <c r="L18" i="97"/>
  <c r="J18" i="97"/>
  <c r="H18" i="97"/>
  <c r="G18" i="97"/>
  <c r="E18" i="97"/>
  <c r="D18" i="97"/>
  <c r="M17" i="97"/>
  <c r="L17" i="97"/>
  <c r="K17" i="97"/>
  <c r="J17" i="97"/>
  <c r="I17" i="97"/>
  <c r="H17" i="97"/>
  <c r="G17" i="97"/>
  <c r="F17" i="97"/>
  <c r="E17" i="97"/>
  <c r="D17" i="97"/>
  <c r="M16" i="97"/>
  <c r="L16" i="97"/>
  <c r="K16" i="97"/>
  <c r="J16" i="97"/>
  <c r="I16" i="97"/>
  <c r="H16" i="97"/>
  <c r="G16" i="97"/>
  <c r="F16" i="97"/>
  <c r="E16" i="97"/>
  <c r="D16" i="97"/>
  <c r="D14" i="97"/>
  <c r="M13" i="97"/>
  <c r="L13" i="97"/>
  <c r="K13" i="97"/>
  <c r="J13" i="97"/>
  <c r="I13" i="97"/>
  <c r="H13" i="97"/>
  <c r="F13" i="97"/>
  <c r="E13" i="97"/>
  <c r="D13" i="97"/>
  <c r="G6" i="97" s="1"/>
  <c r="M6" i="97"/>
  <c r="L6" i="97"/>
  <c r="K6" i="97"/>
  <c r="I6" i="97"/>
  <c r="F3" i="97"/>
  <c r="C3" i="97"/>
  <c r="E8" i="105" l="1"/>
  <c r="G8" i="105"/>
  <c r="F8" i="105"/>
  <c r="K15" i="103"/>
  <c r="I8" i="103" s="1"/>
  <c r="I7" i="103"/>
  <c r="E7" i="103"/>
  <c r="D15" i="103"/>
  <c r="G7" i="103"/>
  <c r="F7" i="103"/>
  <c r="Q29" i="102"/>
  <c r="R22" i="102" s="1"/>
  <c r="P29" i="102"/>
  <c r="G14" i="101"/>
  <c r="G15" i="101" s="1"/>
  <c r="Q35" i="102"/>
  <c r="R30" i="102" s="1"/>
  <c r="P35" i="102"/>
  <c r="K14" i="101"/>
  <c r="Q47" i="102"/>
  <c r="R43" i="102" s="1"/>
  <c r="H14" i="101"/>
  <c r="H15" i="101" s="1"/>
  <c r="P47" i="102"/>
  <c r="Q42" i="102"/>
  <c r="R36" i="102" s="1"/>
  <c r="P42" i="102"/>
  <c r="L14" i="101"/>
  <c r="L15" i="101" s="1"/>
  <c r="Q13" i="102"/>
  <c r="R9" i="102" s="1"/>
  <c r="P13" i="102"/>
  <c r="E14" i="101"/>
  <c r="E15" i="101" s="1"/>
  <c r="M14" i="101"/>
  <c r="M15" i="101" s="1"/>
  <c r="Q67" i="102"/>
  <c r="R62" i="102" s="1"/>
  <c r="P67" i="102"/>
  <c r="Q61" i="102"/>
  <c r="R56" i="102" s="1"/>
  <c r="P61" i="102"/>
  <c r="J14" i="101"/>
  <c r="J15" i="101" s="1"/>
  <c r="Q21" i="102"/>
  <c r="R14" i="102" s="1"/>
  <c r="P21" i="102"/>
  <c r="F14" i="101"/>
  <c r="F15" i="101" s="1"/>
  <c r="Q55" i="102"/>
  <c r="R48" i="102" s="1"/>
  <c r="P55" i="102"/>
  <c r="I14" i="101"/>
  <c r="I15" i="101" s="1"/>
  <c r="Q8" i="102"/>
  <c r="R5" i="102" s="1"/>
  <c r="P8" i="102"/>
  <c r="D14" i="101"/>
  <c r="D2" i="102"/>
  <c r="Q41" i="100"/>
  <c r="P41" i="100"/>
  <c r="Q53" i="100"/>
  <c r="R49" i="100" s="1"/>
  <c r="P53" i="100"/>
  <c r="H14" i="99"/>
  <c r="H15" i="99" s="1"/>
  <c r="Q5" i="100"/>
  <c r="P5" i="100"/>
  <c r="Q47" i="100"/>
  <c r="P47" i="100"/>
  <c r="Q22" i="100"/>
  <c r="P22" i="100"/>
  <c r="Q11" i="100"/>
  <c r="P11" i="100"/>
  <c r="P46" i="100"/>
  <c r="Q46" i="100"/>
  <c r="Q35" i="100"/>
  <c r="P35" i="100"/>
  <c r="Q23" i="100"/>
  <c r="P23" i="100"/>
  <c r="Q18" i="100"/>
  <c r="P18" i="100"/>
  <c r="Q42" i="100"/>
  <c r="P42" i="100"/>
  <c r="Q37" i="100"/>
  <c r="P37" i="100"/>
  <c r="Q54" i="100"/>
  <c r="P54" i="100"/>
  <c r="Q6" i="100"/>
  <c r="P6" i="100"/>
  <c r="Q27" i="100"/>
  <c r="P27" i="100"/>
  <c r="Q58" i="100"/>
  <c r="P58" i="100"/>
  <c r="Q38" i="100"/>
  <c r="P38" i="100"/>
  <c r="Q17" i="100"/>
  <c r="P17" i="100"/>
  <c r="AF75" i="100"/>
  <c r="AG68" i="100" s="1"/>
  <c r="AE75" i="100"/>
  <c r="N75" i="100"/>
  <c r="Q33" i="100"/>
  <c r="P33" i="100"/>
  <c r="N61" i="100"/>
  <c r="AF61" i="100"/>
  <c r="AG54" i="100" s="1"/>
  <c r="AE61" i="100"/>
  <c r="Q14" i="100"/>
  <c r="P14" i="100"/>
  <c r="P44" i="100"/>
  <c r="Q44" i="100"/>
  <c r="Q15" i="100"/>
  <c r="P15" i="100"/>
  <c r="Q69" i="100"/>
  <c r="P69" i="100"/>
  <c r="Q63" i="100"/>
  <c r="P63" i="100"/>
  <c r="N21" i="100"/>
  <c r="AF21" i="100"/>
  <c r="AG14" i="100" s="1"/>
  <c r="AE21" i="100"/>
  <c r="AF13" i="100"/>
  <c r="AG9" i="100" s="1"/>
  <c r="AE13" i="100"/>
  <c r="N13" i="100"/>
  <c r="Q74" i="100"/>
  <c r="P74" i="100"/>
  <c r="Q12" i="100"/>
  <c r="P12" i="100"/>
  <c r="Q32" i="100"/>
  <c r="P32" i="100"/>
  <c r="Q9" i="100"/>
  <c r="P9" i="100"/>
  <c r="Q56" i="100"/>
  <c r="P56" i="100"/>
  <c r="Q10" i="100"/>
  <c r="P10" i="100"/>
  <c r="Q16" i="100"/>
  <c r="P16" i="100"/>
  <c r="N67" i="100"/>
  <c r="AF67" i="100"/>
  <c r="AG62" i="100" s="1"/>
  <c r="AE67" i="100"/>
  <c r="Q31" i="100"/>
  <c r="P31" i="100"/>
  <c r="Q55" i="100"/>
  <c r="P55" i="100"/>
  <c r="N48" i="100"/>
  <c r="AF48" i="100"/>
  <c r="AG40" i="100" s="1"/>
  <c r="AE48" i="100"/>
  <c r="Q7" i="100"/>
  <c r="P7" i="100"/>
  <c r="P65" i="100"/>
  <c r="Q65" i="100"/>
  <c r="N39" i="100"/>
  <c r="AF39" i="100"/>
  <c r="AG31" i="100" s="1"/>
  <c r="AE39" i="100"/>
  <c r="Q66" i="100"/>
  <c r="P66" i="100"/>
  <c r="Q19" i="100"/>
  <c r="P19" i="100"/>
  <c r="Q26" i="100"/>
  <c r="P26" i="100"/>
  <c r="Q70" i="100"/>
  <c r="P70" i="100"/>
  <c r="AF30" i="100"/>
  <c r="AG22" i="100" s="1"/>
  <c r="AE30" i="100"/>
  <c r="N30" i="100"/>
  <c r="Q62" i="100"/>
  <c r="P62" i="100"/>
  <c r="Q29" i="100"/>
  <c r="P29" i="100"/>
  <c r="Q50" i="100"/>
  <c r="P50" i="100"/>
  <c r="Q28" i="100"/>
  <c r="P28" i="100"/>
  <c r="AF8" i="100"/>
  <c r="AG5" i="100" s="1"/>
  <c r="AE8" i="100"/>
  <c r="N8" i="100"/>
  <c r="Q64" i="100"/>
  <c r="P64" i="100"/>
  <c r="D15" i="97"/>
  <c r="I3" i="97"/>
  <c r="E6" i="97"/>
  <c r="F6" i="97"/>
  <c r="P18" i="98"/>
  <c r="Q5" i="98"/>
  <c r="P5" i="98"/>
  <c r="Q6" i="98"/>
  <c r="P6" i="98"/>
  <c r="AF8" i="98"/>
  <c r="AG5" i="98" s="1"/>
  <c r="AE8" i="98"/>
  <c r="Q8" i="98"/>
  <c r="R5" i="98" s="1"/>
  <c r="P8" i="98"/>
  <c r="Q9" i="98"/>
  <c r="P9" i="98"/>
  <c r="AF11" i="98"/>
  <c r="AE11" i="98"/>
  <c r="N11" i="98"/>
  <c r="AF12" i="98"/>
  <c r="AG9" i="98" s="1"/>
  <c r="AE12" i="98"/>
  <c r="Q12" i="98"/>
  <c r="R9" i="98" s="1"/>
  <c r="P12" i="98"/>
  <c r="AF13" i="98"/>
  <c r="AE13" i="98"/>
  <c r="M20" i="98"/>
  <c r="Q13" i="98"/>
  <c r="P13" i="98"/>
  <c r="AF14" i="98"/>
  <c r="AE14" i="98"/>
  <c r="N14" i="98"/>
  <c r="AF15" i="98"/>
  <c r="AE15" i="98"/>
  <c r="Q15" i="98"/>
  <c r="P15" i="98"/>
  <c r="AF16" i="98"/>
  <c r="AE16" i="98"/>
  <c r="Q16" i="98"/>
  <c r="P16" i="98"/>
  <c r="AF17" i="98"/>
  <c r="AE17" i="98"/>
  <c r="AF18" i="98"/>
  <c r="AE18" i="98"/>
  <c r="N19" i="98"/>
  <c r="AF19" i="98"/>
  <c r="AE19" i="98"/>
  <c r="N21" i="98"/>
  <c r="AF21" i="98"/>
  <c r="N22" i="98"/>
  <c r="AF22" i="98"/>
  <c r="Q23" i="98"/>
  <c r="P23" i="98"/>
  <c r="Q24" i="98"/>
  <c r="P24" i="98"/>
  <c r="Q25" i="98"/>
  <c r="P25" i="98"/>
  <c r="Q27" i="98"/>
  <c r="P27" i="98"/>
  <c r="AF29" i="98"/>
  <c r="AG21" i="98" s="1"/>
  <c r="AE29" i="98"/>
  <c r="Q29" i="98"/>
  <c r="R21" i="98" s="1"/>
  <c r="P29" i="98"/>
  <c r="AE30" i="98"/>
  <c r="M38" i="98"/>
  <c r="Q30" i="98"/>
  <c r="P30" i="98"/>
  <c r="AF32" i="98"/>
  <c r="AE32" i="98"/>
  <c r="N32" i="98"/>
  <c r="AF33" i="98"/>
  <c r="AE33" i="98"/>
  <c r="Q33" i="98"/>
  <c r="P33" i="98"/>
  <c r="AF34" i="98"/>
  <c r="AE34" i="98"/>
  <c r="Q34" i="98"/>
  <c r="P34" i="98"/>
  <c r="AF35" i="98"/>
  <c r="AE35" i="98"/>
  <c r="Q35" i="98"/>
  <c r="P35" i="98"/>
  <c r="AF36" i="98"/>
  <c r="AE36" i="98"/>
  <c r="Q36" i="98"/>
  <c r="P36" i="98"/>
  <c r="AF37" i="98"/>
  <c r="AE37" i="98"/>
  <c r="N39" i="98"/>
  <c r="AF39" i="98"/>
  <c r="AE39" i="98"/>
  <c r="M47" i="98"/>
  <c r="AE47" i="98" s="1"/>
  <c r="AF40" i="98"/>
  <c r="AE40" i="98"/>
  <c r="AF41" i="98"/>
  <c r="AE41" i="98"/>
  <c r="N42" i="98"/>
  <c r="AF42" i="98"/>
  <c r="AE42" i="98"/>
  <c r="N43" i="98"/>
  <c r="AF43" i="98"/>
  <c r="AE43" i="98"/>
  <c r="N44" i="98"/>
  <c r="AF44" i="98"/>
  <c r="AE44" i="98"/>
  <c r="N45" i="98"/>
  <c r="AF45" i="98"/>
  <c r="AE45" i="98"/>
  <c r="N46" i="98"/>
  <c r="AF46" i="98"/>
  <c r="AE46" i="98"/>
  <c r="N48" i="98"/>
  <c r="M52" i="98"/>
  <c r="AF48" i="98"/>
  <c r="AE48" i="98"/>
  <c r="N49" i="98"/>
  <c r="AF49" i="98"/>
  <c r="AE49" i="98"/>
  <c r="N50" i="98"/>
  <c r="AF50" i="98"/>
  <c r="Q51" i="98"/>
  <c r="P51" i="98"/>
  <c r="AF60" i="98"/>
  <c r="AG53" i="98" s="1"/>
  <c r="AE60" i="98"/>
  <c r="Q54" i="98"/>
  <c r="P54" i="98"/>
  <c r="Q55" i="98"/>
  <c r="P55" i="98"/>
  <c r="AF58" i="98"/>
  <c r="AE58" i="98"/>
  <c r="N58" i="98"/>
  <c r="AF59" i="98"/>
  <c r="AE59" i="98"/>
  <c r="Q59" i="98"/>
  <c r="P59" i="98"/>
  <c r="I14" i="97"/>
  <c r="I15" i="97" s="1"/>
  <c r="Q60" i="98"/>
  <c r="R53" i="98" s="1"/>
  <c r="AF61" i="98"/>
  <c r="M66" i="98"/>
  <c r="AE66" i="98" s="1"/>
  <c r="AE61" i="98"/>
  <c r="AF62" i="98"/>
  <c r="AE62" i="98"/>
  <c r="N63" i="98"/>
  <c r="AF63" i="98"/>
  <c r="AE63" i="98"/>
  <c r="N64" i="98"/>
  <c r="AF64" i="98"/>
  <c r="AE64" i="98"/>
  <c r="N65" i="98"/>
  <c r="AF65" i="98"/>
  <c r="AE65" i="98"/>
  <c r="N67" i="98"/>
  <c r="AF67" i="98"/>
  <c r="AE67" i="98"/>
  <c r="N68" i="98"/>
  <c r="AF68" i="98"/>
  <c r="AE68" i="98"/>
  <c r="N69" i="98"/>
  <c r="AF69" i="98"/>
  <c r="Q70" i="98"/>
  <c r="P70" i="98"/>
  <c r="Q71" i="98"/>
  <c r="P71" i="98"/>
  <c r="Q72" i="98"/>
  <c r="P72" i="98"/>
  <c r="Q73" i="98"/>
  <c r="P73" i="98"/>
  <c r="AF75" i="98"/>
  <c r="AG67" i="98" s="1"/>
  <c r="AE75" i="98"/>
  <c r="N75" i="98"/>
  <c r="M14" i="97" s="1"/>
  <c r="M15" i="97" s="1"/>
  <c r="N57" i="98"/>
  <c r="N7" i="98"/>
  <c r="N10" i="98"/>
  <c r="N26" i="98"/>
  <c r="N28" i="98"/>
  <c r="N31" i="98"/>
  <c r="N53" i="98"/>
  <c r="N56" i="98"/>
  <c r="N74" i="98"/>
  <c r="AE57" i="98"/>
  <c r="AD81" i="96"/>
  <c r="Z81" i="96"/>
  <c r="Y81" i="96"/>
  <c r="O81" i="96"/>
  <c r="K81" i="96"/>
  <c r="AF80" i="96"/>
  <c r="V80" i="96"/>
  <c r="U80" i="96"/>
  <c r="O80" i="96"/>
  <c r="M80" i="96"/>
  <c r="AE80" i="96" s="1"/>
  <c r="K80" i="96"/>
  <c r="G80" i="96"/>
  <c r="AF79" i="96"/>
  <c r="AE79" i="96"/>
  <c r="V79" i="96"/>
  <c r="U79" i="96"/>
  <c r="O79" i="96"/>
  <c r="M79" i="96"/>
  <c r="N79" i="96" s="1"/>
  <c r="K79" i="96"/>
  <c r="G79" i="96"/>
  <c r="V78" i="96"/>
  <c r="M78" i="96" s="1"/>
  <c r="U78" i="96"/>
  <c r="O78" i="96"/>
  <c r="K78" i="96"/>
  <c r="G78" i="96"/>
  <c r="AF77" i="96"/>
  <c r="AE77" i="96"/>
  <c r="X77" i="96"/>
  <c r="W77" i="96"/>
  <c r="V77" i="96"/>
  <c r="U77" i="96"/>
  <c r="O77" i="96"/>
  <c r="M77" i="96"/>
  <c r="N77" i="96" s="1"/>
  <c r="K77" i="96"/>
  <c r="G77" i="96"/>
  <c r="V76" i="96"/>
  <c r="M76" i="96" s="1"/>
  <c r="U76" i="96"/>
  <c r="O76" i="96"/>
  <c r="K76" i="96"/>
  <c r="G76" i="96"/>
  <c r="V75" i="96"/>
  <c r="M75" i="96" s="1"/>
  <c r="U75" i="96"/>
  <c r="O75" i="96"/>
  <c r="K75" i="96"/>
  <c r="G75" i="96"/>
  <c r="V74" i="96"/>
  <c r="M74" i="96" s="1"/>
  <c r="U74" i="96"/>
  <c r="O74" i="96"/>
  <c r="K74" i="96"/>
  <c r="G74" i="96"/>
  <c r="X73" i="96"/>
  <c r="W73" i="96"/>
  <c r="V73" i="96"/>
  <c r="M73" i="96" s="1"/>
  <c r="O73" i="96"/>
  <c r="K73" i="96"/>
  <c r="G73" i="96"/>
  <c r="AD72" i="96"/>
  <c r="Z72" i="96"/>
  <c r="Y72" i="96"/>
  <c r="O72" i="96"/>
  <c r="K72" i="96"/>
  <c r="V71" i="96"/>
  <c r="M71" i="96" s="1"/>
  <c r="U71" i="96"/>
  <c r="O71" i="96"/>
  <c r="K71" i="96"/>
  <c r="G71" i="96"/>
  <c r="V70" i="96"/>
  <c r="M70" i="96" s="1"/>
  <c r="U70" i="96"/>
  <c r="O70" i="96"/>
  <c r="K70" i="96"/>
  <c r="G70" i="96"/>
  <c r="V69" i="96"/>
  <c r="M69" i="96" s="1"/>
  <c r="U69" i="96"/>
  <c r="O69" i="96"/>
  <c r="K69" i="96"/>
  <c r="G69" i="96"/>
  <c r="V68" i="96"/>
  <c r="M68" i="96" s="1"/>
  <c r="U68" i="96"/>
  <c r="O68" i="96"/>
  <c r="K68" i="96"/>
  <c r="G68" i="96"/>
  <c r="V67" i="96"/>
  <c r="M67" i="96" s="1"/>
  <c r="O67" i="96"/>
  <c r="K67" i="96"/>
  <c r="G67" i="96"/>
  <c r="AD66" i="96"/>
  <c r="Z66" i="96"/>
  <c r="Y66" i="96"/>
  <c r="O66" i="96"/>
  <c r="K66" i="96"/>
  <c r="V65" i="96"/>
  <c r="U65" i="96"/>
  <c r="O65" i="96"/>
  <c r="M65" i="96"/>
  <c r="AF65" i="96" s="1"/>
  <c r="K65" i="96"/>
  <c r="G65" i="96"/>
  <c r="X64" i="96"/>
  <c r="W64" i="96"/>
  <c r="V64" i="96"/>
  <c r="U64" i="96"/>
  <c r="O64" i="96"/>
  <c r="M64" i="96"/>
  <c r="AF64" i="96" s="1"/>
  <c r="K64" i="96"/>
  <c r="G64" i="96"/>
  <c r="V63" i="96"/>
  <c r="U63" i="96"/>
  <c r="O63" i="96"/>
  <c r="M63" i="96"/>
  <c r="AF63" i="96" s="1"/>
  <c r="K63" i="96"/>
  <c r="G63" i="96"/>
  <c r="V62" i="96"/>
  <c r="U62" i="96"/>
  <c r="O62" i="96"/>
  <c r="M62" i="96"/>
  <c r="AF62" i="96" s="1"/>
  <c r="K62" i="96"/>
  <c r="G62" i="96"/>
  <c r="V61" i="96"/>
  <c r="U61" i="96"/>
  <c r="P61" i="96"/>
  <c r="O61" i="96"/>
  <c r="N61" i="96"/>
  <c r="Q61" i="96" s="1"/>
  <c r="M61" i="96"/>
  <c r="AF61" i="96" s="1"/>
  <c r="K61" i="96"/>
  <c r="G61" i="96"/>
  <c r="X60" i="96"/>
  <c r="W60" i="96"/>
  <c r="V60" i="96"/>
  <c r="M60" i="96" s="1"/>
  <c r="U60" i="96"/>
  <c r="O60" i="96"/>
  <c r="K60" i="96"/>
  <c r="G60" i="96"/>
  <c r="V59" i="96"/>
  <c r="U59" i="96"/>
  <c r="Q59" i="96"/>
  <c r="P59" i="96"/>
  <c r="O59" i="96"/>
  <c r="N59" i="96"/>
  <c r="M59" i="96"/>
  <c r="AF59" i="96" s="1"/>
  <c r="K59" i="96"/>
  <c r="G59" i="96"/>
  <c r="AF58" i="96"/>
  <c r="V58" i="96"/>
  <c r="U58" i="96"/>
  <c r="O58" i="96"/>
  <c r="M58" i="96"/>
  <c r="AE58" i="96" s="1"/>
  <c r="K58" i="96"/>
  <c r="G58" i="96"/>
  <c r="X57" i="96"/>
  <c r="W57" i="96"/>
  <c r="V57" i="96"/>
  <c r="M57" i="96" s="1"/>
  <c r="U57" i="96"/>
  <c r="O57" i="96"/>
  <c r="K57" i="96"/>
  <c r="G57" i="96"/>
  <c r="V56" i="96"/>
  <c r="M56" i="96" s="1"/>
  <c r="O56" i="96"/>
  <c r="K56" i="96"/>
  <c r="G56" i="96"/>
  <c r="AD55" i="96"/>
  <c r="Z55" i="96"/>
  <c r="Y55" i="96"/>
  <c r="O55" i="96"/>
  <c r="K55" i="96"/>
  <c r="AF54" i="96"/>
  <c r="AE54" i="96"/>
  <c r="V54" i="96"/>
  <c r="U54" i="96"/>
  <c r="O54" i="96"/>
  <c r="N54" i="96"/>
  <c r="Q54" i="96" s="1"/>
  <c r="M54" i="96"/>
  <c r="K54" i="96"/>
  <c r="G54" i="96"/>
  <c r="V53" i="96"/>
  <c r="U53" i="96"/>
  <c r="O53" i="96"/>
  <c r="M53" i="96"/>
  <c r="N53" i="96" s="1"/>
  <c r="K53" i="96"/>
  <c r="G53" i="96"/>
  <c r="V52" i="96"/>
  <c r="M52" i="96" s="1"/>
  <c r="U52" i="96"/>
  <c r="O52" i="96"/>
  <c r="K52" i="96"/>
  <c r="G52" i="96"/>
  <c r="X51" i="96"/>
  <c r="W51" i="96"/>
  <c r="V51" i="96"/>
  <c r="O51" i="96"/>
  <c r="N51" i="96"/>
  <c r="Q51" i="96" s="1"/>
  <c r="M51" i="96"/>
  <c r="M55" i="96" s="1"/>
  <c r="K51" i="96"/>
  <c r="G51" i="96"/>
  <c r="AD50" i="96"/>
  <c r="Z50" i="96"/>
  <c r="Y50" i="96"/>
  <c r="O50" i="96"/>
  <c r="K50" i="96"/>
  <c r="V49" i="96"/>
  <c r="M49" i="96" s="1"/>
  <c r="U49" i="96"/>
  <c r="O49" i="96"/>
  <c r="K49" i="96"/>
  <c r="G49" i="96"/>
  <c r="V48" i="96"/>
  <c r="U48" i="96"/>
  <c r="O48" i="96"/>
  <c r="M48" i="96"/>
  <c r="N48" i="96" s="1"/>
  <c r="K48" i="96"/>
  <c r="G48" i="96"/>
  <c r="AF47" i="96"/>
  <c r="AE47" i="96"/>
  <c r="V47" i="96"/>
  <c r="U47" i="96"/>
  <c r="O47" i="96"/>
  <c r="M47" i="96"/>
  <c r="N47" i="96" s="1"/>
  <c r="K47" i="96"/>
  <c r="G47" i="96"/>
  <c r="AF46" i="96"/>
  <c r="X46" i="96"/>
  <c r="W46" i="96"/>
  <c r="V46" i="96"/>
  <c r="U46" i="96"/>
  <c r="O46" i="96"/>
  <c r="M46" i="96"/>
  <c r="N46" i="96" s="1"/>
  <c r="K46" i="96"/>
  <c r="G46" i="96"/>
  <c r="AF45" i="96"/>
  <c r="AE45" i="96"/>
  <c r="V45" i="96"/>
  <c r="U45" i="96"/>
  <c r="O45" i="96"/>
  <c r="M45" i="96"/>
  <c r="N45" i="96" s="1"/>
  <c r="K45" i="96"/>
  <c r="G45" i="96"/>
  <c r="V44" i="96"/>
  <c r="M44" i="96" s="1"/>
  <c r="U44" i="96"/>
  <c r="O44" i="96"/>
  <c r="K44" i="96"/>
  <c r="G44" i="96"/>
  <c r="V43" i="96"/>
  <c r="M43" i="96" s="1"/>
  <c r="U43" i="96"/>
  <c r="O43" i="96"/>
  <c r="K43" i="96"/>
  <c r="G43" i="96"/>
  <c r="AF42" i="96"/>
  <c r="AE42" i="96"/>
  <c r="X42" i="96"/>
  <c r="W42" i="96"/>
  <c r="V42" i="96"/>
  <c r="O42" i="96"/>
  <c r="M42" i="96"/>
  <c r="N42" i="96" s="1"/>
  <c r="K42" i="96"/>
  <c r="G42" i="96"/>
  <c r="AD41" i="96"/>
  <c r="Z41" i="96"/>
  <c r="Y41" i="96"/>
  <c r="O41" i="96"/>
  <c r="K41" i="96"/>
  <c r="V40" i="96"/>
  <c r="M40" i="96" s="1"/>
  <c r="U40" i="96"/>
  <c r="O40" i="96"/>
  <c r="K40" i="96"/>
  <c r="G40" i="96"/>
  <c r="V39" i="96"/>
  <c r="M39" i="96" s="1"/>
  <c r="U39" i="96"/>
  <c r="O39" i="96"/>
  <c r="K39" i="96"/>
  <c r="G39" i="96"/>
  <c r="V38" i="96"/>
  <c r="M38" i="96" s="1"/>
  <c r="U38" i="96"/>
  <c r="O38" i="96"/>
  <c r="K38" i="96"/>
  <c r="G38" i="96"/>
  <c r="X37" i="96"/>
  <c r="W37" i="96"/>
  <c r="V37" i="96"/>
  <c r="M37" i="96" s="1"/>
  <c r="U37" i="96"/>
  <c r="O37" i="96"/>
  <c r="K37" i="96"/>
  <c r="G37" i="96"/>
  <c r="V36" i="96"/>
  <c r="M36" i="96" s="1"/>
  <c r="U36" i="96"/>
  <c r="O36" i="96"/>
  <c r="K36" i="96"/>
  <c r="G36" i="96"/>
  <c r="V35" i="96"/>
  <c r="M35" i="96" s="1"/>
  <c r="U35" i="96"/>
  <c r="O35" i="96"/>
  <c r="K35" i="96"/>
  <c r="G35" i="96"/>
  <c r="V34" i="96"/>
  <c r="M34" i="96" s="1"/>
  <c r="U34" i="96"/>
  <c r="O34" i="96"/>
  <c r="K34" i="96"/>
  <c r="G34" i="96"/>
  <c r="X33" i="96"/>
  <c r="W33" i="96"/>
  <c r="V33" i="96"/>
  <c r="M33" i="96" s="1"/>
  <c r="O33" i="96"/>
  <c r="K33" i="96"/>
  <c r="G33" i="96"/>
  <c r="AD32" i="96"/>
  <c r="Z32" i="96"/>
  <c r="Y32" i="96"/>
  <c r="O32" i="96"/>
  <c r="K32" i="96"/>
  <c r="V31" i="96"/>
  <c r="M31" i="96" s="1"/>
  <c r="U31" i="96"/>
  <c r="O31" i="96"/>
  <c r="K31" i="96"/>
  <c r="G31" i="96"/>
  <c r="X30" i="96"/>
  <c r="W30" i="96"/>
  <c r="V30" i="96"/>
  <c r="M30" i="96" s="1"/>
  <c r="U30" i="96"/>
  <c r="O30" i="96"/>
  <c r="K30" i="96"/>
  <c r="G30" i="96"/>
  <c r="V29" i="96"/>
  <c r="M29" i="96" s="1"/>
  <c r="U29" i="96"/>
  <c r="O29" i="96"/>
  <c r="K29" i="96"/>
  <c r="G29" i="96"/>
  <c r="V28" i="96"/>
  <c r="U28" i="96"/>
  <c r="Q28" i="96"/>
  <c r="O28" i="96"/>
  <c r="N28" i="96"/>
  <c r="P28" i="96" s="1"/>
  <c r="M28" i="96"/>
  <c r="AE28" i="96" s="1"/>
  <c r="K28" i="96"/>
  <c r="G28" i="96"/>
  <c r="V27" i="96"/>
  <c r="U27" i="96"/>
  <c r="Q27" i="96"/>
  <c r="O27" i="96"/>
  <c r="N27" i="96"/>
  <c r="P27" i="96" s="1"/>
  <c r="M27" i="96"/>
  <c r="AF27" i="96" s="1"/>
  <c r="K27" i="96"/>
  <c r="G27" i="96"/>
  <c r="V26" i="96"/>
  <c r="U26" i="96"/>
  <c r="O26" i="96"/>
  <c r="M26" i="96"/>
  <c r="N26" i="96" s="1"/>
  <c r="K26" i="96"/>
  <c r="G26" i="96"/>
  <c r="V25" i="96"/>
  <c r="U25" i="96"/>
  <c r="O25" i="96"/>
  <c r="N25" i="96"/>
  <c r="Q25" i="96" s="1"/>
  <c r="M25" i="96"/>
  <c r="AF25" i="96" s="1"/>
  <c r="K25" i="96"/>
  <c r="G25" i="96"/>
  <c r="V24" i="96"/>
  <c r="O24" i="96"/>
  <c r="N24" i="96"/>
  <c r="Q24" i="96" s="1"/>
  <c r="M24" i="96"/>
  <c r="AF24" i="96" s="1"/>
  <c r="K24" i="96"/>
  <c r="G24" i="96"/>
  <c r="AD23" i="96"/>
  <c r="Z23" i="96"/>
  <c r="Y23" i="96"/>
  <c r="O23" i="96"/>
  <c r="K23" i="96"/>
  <c r="V22" i="96"/>
  <c r="U22" i="96"/>
  <c r="O22" i="96"/>
  <c r="M22" i="96"/>
  <c r="N22" i="96" s="1"/>
  <c r="K22" i="96"/>
  <c r="G22" i="96"/>
  <c r="AF21" i="96"/>
  <c r="AE21" i="96"/>
  <c r="V21" i="96"/>
  <c r="U21" i="96"/>
  <c r="O21" i="96"/>
  <c r="M21" i="96"/>
  <c r="N21" i="96" s="1"/>
  <c r="K21" i="96"/>
  <c r="G21" i="96"/>
  <c r="V20" i="96"/>
  <c r="M20" i="96" s="1"/>
  <c r="U20" i="96"/>
  <c r="O20" i="96"/>
  <c r="K20" i="96"/>
  <c r="G20" i="96"/>
  <c r="V19" i="96"/>
  <c r="M19" i="96" s="1"/>
  <c r="U19" i="96"/>
  <c r="O19" i="96"/>
  <c r="K19" i="96"/>
  <c r="G19" i="96"/>
  <c r="X18" i="96"/>
  <c r="W18" i="96"/>
  <c r="V18" i="96"/>
  <c r="M18" i="96" s="1"/>
  <c r="U18" i="96"/>
  <c r="O18" i="96"/>
  <c r="K18" i="96"/>
  <c r="G18" i="96"/>
  <c r="V17" i="96"/>
  <c r="M17" i="96" s="1"/>
  <c r="U17" i="96"/>
  <c r="O17" i="96"/>
  <c r="K17" i="96"/>
  <c r="G17" i="96"/>
  <c r="V16" i="96"/>
  <c r="M16" i="96" s="1"/>
  <c r="U16" i="96"/>
  <c r="O16" i="96"/>
  <c r="K16" i="96"/>
  <c r="G16" i="96"/>
  <c r="X15" i="96"/>
  <c r="W15" i="96"/>
  <c r="V15" i="96"/>
  <c r="M15" i="96" s="1"/>
  <c r="O15" i="96"/>
  <c r="K15" i="96"/>
  <c r="G15" i="96"/>
  <c r="AD14" i="96"/>
  <c r="Z14" i="96"/>
  <c r="Y14" i="96"/>
  <c r="O14" i="96"/>
  <c r="K14" i="96"/>
  <c r="V13" i="96"/>
  <c r="M13" i="96" s="1"/>
  <c r="U13" i="96"/>
  <c r="O13" i="96"/>
  <c r="K13" i="96"/>
  <c r="G13" i="96"/>
  <c r="X12" i="96"/>
  <c r="W12" i="96"/>
  <c r="V12" i="96"/>
  <c r="M12" i="96" s="1"/>
  <c r="U12" i="96"/>
  <c r="O12" i="96"/>
  <c r="K12" i="96"/>
  <c r="G12" i="96"/>
  <c r="V11" i="96"/>
  <c r="M11" i="96" s="1"/>
  <c r="U11" i="96"/>
  <c r="O11" i="96"/>
  <c r="K11" i="96"/>
  <c r="G11" i="96"/>
  <c r="X10" i="96"/>
  <c r="W10" i="96"/>
  <c r="V10" i="96"/>
  <c r="M10" i="96" s="1"/>
  <c r="O10" i="96"/>
  <c r="K10" i="96"/>
  <c r="G10" i="96"/>
  <c r="AD9" i="96"/>
  <c r="AD2" i="96" s="1"/>
  <c r="N6" i="95" s="1"/>
  <c r="Z9" i="96"/>
  <c r="Z2" i="96" s="1"/>
  <c r="L6" i="95" s="1"/>
  <c r="Y9" i="96"/>
  <c r="Y2" i="96" s="1"/>
  <c r="K6" i="95" s="1"/>
  <c r="O9" i="96"/>
  <c r="K9" i="96"/>
  <c r="V8" i="96"/>
  <c r="M8" i="96" s="1"/>
  <c r="U8" i="96"/>
  <c r="O8" i="96"/>
  <c r="K8" i="96"/>
  <c r="G8" i="96"/>
  <c r="X7" i="96"/>
  <c r="W7" i="96"/>
  <c r="V7" i="96"/>
  <c r="M7" i="96" s="1"/>
  <c r="U7" i="96"/>
  <c r="O7" i="96"/>
  <c r="K7" i="96"/>
  <c r="G7" i="96"/>
  <c r="AF6" i="96"/>
  <c r="V6" i="96"/>
  <c r="U6" i="96"/>
  <c r="O6" i="96"/>
  <c r="M6" i="96"/>
  <c r="AE6" i="96" s="1"/>
  <c r="K6" i="96"/>
  <c r="G6" i="96"/>
  <c r="AF5" i="96"/>
  <c r="V5" i="96"/>
  <c r="O5" i="96"/>
  <c r="M5" i="96"/>
  <c r="M9" i="96" s="1"/>
  <c r="K5" i="96"/>
  <c r="G5" i="96"/>
  <c r="F1" i="96" s="1"/>
  <c r="AC2" i="96"/>
  <c r="H2" i="96"/>
  <c r="H1" i="96"/>
  <c r="D1" i="96"/>
  <c r="M22" i="95"/>
  <c r="L22" i="95"/>
  <c r="K22" i="95"/>
  <c r="J22" i="95"/>
  <c r="I22" i="95"/>
  <c r="H22" i="95"/>
  <c r="G22" i="95"/>
  <c r="F22" i="95"/>
  <c r="E22" i="95"/>
  <c r="D22" i="95"/>
  <c r="M21" i="95"/>
  <c r="L21" i="95"/>
  <c r="K21" i="95"/>
  <c r="J21" i="95"/>
  <c r="I21" i="95"/>
  <c r="H21" i="95"/>
  <c r="G21" i="95"/>
  <c r="F21" i="95"/>
  <c r="E21" i="95"/>
  <c r="D21" i="95"/>
  <c r="M20" i="95"/>
  <c r="L20" i="95"/>
  <c r="K20" i="95"/>
  <c r="J20" i="95"/>
  <c r="I20" i="95"/>
  <c r="H20" i="95"/>
  <c r="G20" i="95"/>
  <c r="F20" i="95"/>
  <c r="E20" i="95"/>
  <c r="D20" i="95"/>
  <c r="M19" i="95"/>
  <c r="L19" i="95"/>
  <c r="K19" i="95"/>
  <c r="J19" i="95"/>
  <c r="I19" i="95"/>
  <c r="H19" i="95"/>
  <c r="G19" i="95"/>
  <c r="F19" i="95"/>
  <c r="E19" i="95"/>
  <c r="D19" i="95"/>
  <c r="M18" i="95"/>
  <c r="L18" i="95"/>
  <c r="K18" i="95"/>
  <c r="J18" i="95"/>
  <c r="I18" i="95"/>
  <c r="H18" i="95"/>
  <c r="G18" i="95"/>
  <c r="F18" i="95"/>
  <c r="E18" i="95"/>
  <c r="D18" i="95"/>
  <c r="M17" i="95"/>
  <c r="L17" i="95"/>
  <c r="K17" i="95"/>
  <c r="J17" i="95"/>
  <c r="I17" i="95"/>
  <c r="H17" i="95"/>
  <c r="G17" i="95"/>
  <c r="F17" i="95"/>
  <c r="E17" i="95"/>
  <c r="D17" i="95"/>
  <c r="M16" i="95"/>
  <c r="L16" i="95"/>
  <c r="K16" i="95"/>
  <c r="J16" i="95"/>
  <c r="I16" i="95"/>
  <c r="H16" i="95"/>
  <c r="G16" i="95"/>
  <c r="F16" i="95"/>
  <c r="E16" i="95"/>
  <c r="D16" i="95"/>
  <c r="M13" i="95"/>
  <c r="L13" i="95"/>
  <c r="K13" i="95"/>
  <c r="I6" i="95" s="1"/>
  <c r="J13" i="95"/>
  <c r="I13" i="95"/>
  <c r="H13" i="95"/>
  <c r="G13" i="95"/>
  <c r="G6" i="95" s="1"/>
  <c r="F13" i="95"/>
  <c r="E13" i="95"/>
  <c r="D13" i="95"/>
  <c r="M6" i="95"/>
  <c r="F3" i="95"/>
  <c r="C3" i="95"/>
  <c r="G8" i="103" l="1"/>
  <c r="E8" i="103"/>
  <c r="F8" i="103"/>
  <c r="I7" i="101"/>
  <c r="K15" i="101"/>
  <c r="I8" i="101" s="1"/>
  <c r="G7" i="101"/>
  <c r="F7" i="101"/>
  <c r="E7" i="101"/>
  <c r="D15" i="101"/>
  <c r="Q48" i="100"/>
  <c r="R40" i="100" s="1"/>
  <c r="P48" i="100"/>
  <c r="L14" i="99"/>
  <c r="L15" i="99" s="1"/>
  <c r="Q21" i="100"/>
  <c r="R14" i="100" s="1"/>
  <c r="P21" i="100"/>
  <c r="F14" i="99"/>
  <c r="F15" i="99" s="1"/>
  <c r="Q30" i="100"/>
  <c r="R22" i="100" s="1"/>
  <c r="P30" i="100"/>
  <c r="G14" i="99"/>
  <c r="G15" i="99" s="1"/>
  <c r="Q61" i="100"/>
  <c r="R54" i="100" s="1"/>
  <c r="I14" i="99"/>
  <c r="I15" i="99" s="1"/>
  <c r="P61" i="100"/>
  <c r="D2" i="100"/>
  <c r="Q8" i="100"/>
  <c r="R5" i="100" s="1"/>
  <c r="P8" i="100"/>
  <c r="D14" i="99"/>
  <c r="Q39" i="100"/>
  <c r="R31" i="100" s="1"/>
  <c r="K14" i="99"/>
  <c r="P39" i="100"/>
  <c r="Q67" i="100"/>
  <c r="R62" i="100" s="1"/>
  <c r="P67" i="100"/>
  <c r="J14" i="99"/>
  <c r="J15" i="99" s="1"/>
  <c r="Q75" i="100"/>
  <c r="R68" i="100" s="1"/>
  <c r="P75" i="100"/>
  <c r="M14" i="99"/>
  <c r="M15" i="99" s="1"/>
  <c r="Q13" i="100"/>
  <c r="R9" i="100" s="1"/>
  <c r="P13" i="100"/>
  <c r="E14" i="99"/>
  <c r="E15" i="99" s="1"/>
  <c r="Q45" i="98"/>
  <c r="P45" i="98"/>
  <c r="P49" i="98"/>
  <c r="Q49" i="98"/>
  <c r="Q44" i="98"/>
  <c r="P44" i="98"/>
  <c r="P19" i="98"/>
  <c r="Q19" i="98"/>
  <c r="P65" i="98"/>
  <c r="Q65" i="98"/>
  <c r="N52" i="98"/>
  <c r="D2" i="98" s="1"/>
  <c r="AF52" i="98"/>
  <c r="AG48" i="98" s="1"/>
  <c r="AE52" i="98"/>
  <c r="Q39" i="98"/>
  <c r="P39" i="98"/>
  <c r="Q43" i="98"/>
  <c r="P43" i="98"/>
  <c r="Q64" i="98"/>
  <c r="P64" i="98"/>
  <c r="P22" i="98"/>
  <c r="Q22" i="98"/>
  <c r="P46" i="98"/>
  <c r="Q46" i="98"/>
  <c r="Q42" i="98"/>
  <c r="P42" i="98"/>
  <c r="P21" i="98"/>
  <c r="Q21" i="98"/>
  <c r="P68" i="98"/>
  <c r="Q68" i="98"/>
  <c r="Q63" i="98"/>
  <c r="P63" i="98"/>
  <c r="Q74" i="98"/>
  <c r="P74" i="98"/>
  <c r="Q56" i="98"/>
  <c r="P56" i="98"/>
  <c r="Q53" i="98"/>
  <c r="P53" i="98"/>
  <c r="Q31" i="98"/>
  <c r="P31" i="98"/>
  <c r="Q28" i="98"/>
  <c r="P28" i="98"/>
  <c r="Q26" i="98"/>
  <c r="P26" i="98"/>
  <c r="Q10" i="98"/>
  <c r="P10" i="98"/>
  <c r="Q7" i="98"/>
  <c r="P7" i="98"/>
  <c r="Q57" i="98"/>
  <c r="P57" i="98"/>
  <c r="Q75" i="98"/>
  <c r="R67" i="98" s="1"/>
  <c r="P75" i="98"/>
  <c r="Q69" i="98"/>
  <c r="P69" i="98"/>
  <c r="Q67" i="98"/>
  <c r="P67" i="98"/>
  <c r="N66" i="98"/>
  <c r="J14" i="97" s="1"/>
  <c r="J15" i="97" s="1"/>
  <c r="AF66" i="98"/>
  <c r="AG61" i="98" s="1"/>
  <c r="Q58" i="98"/>
  <c r="P58" i="98"/>
  <c r="Q50" i="98"/>
  <c r="P50" i="98"/>
  <c r="H14" i="97"/>
  <c r="H15" i="97" s="1"/>
  <c r="Q48" i="98"/>
  <c r="P48" i="98"/>
  <c r="N47" i="98"/>
  <c r="L14" i="97" s="1"/>
  <c r="L15" i="97" s="1"/>
  <c r="AF47" i="98"/>
  <c r="AG39" i="98" s="1"/>
  <c r="Q32" i="98"/>
  <c r="P32" i="98"/>
  <c r="N38" i="98"/>
  <c r="AF38" i="98"/>
  <c r="AG30" i="98" s="1"/>
  <c r="AE38" i="98"/>
  <c r="Q14" i="98"/>
  <c r="P14" i="98"/>
  <c r="N20" i="98"/>
  <c r="AF20" i="98"/>
  <c r="AG13" i="98" s="1"/>
  <c r="AE20" i="98"/>
  <c r="Q11" i="98"/>
  <c r="P11" i="98"/>
  <c r="AF17" i="96"/>
  <c r="AE17" i="96"/>
  <c r="N17" i="96"/>
  <c r="Q47" i="96"/>
  <c r="P47" i="96"/>
  <c r="M14" i="96"/>
  <c r="AF10" i="96"/>
  <c r="AE10" i="96"/>
  <c r="N10" i="96"/>
  <c r="AF34" i="96"/>
  <c r="AE34" i="96"/>
  <c r="N34" i="96"/>
  <c r="AE30" i="96"/>
  <c r="N30" i="96"/>
  <c r="AF30" i="96"/>
  <c r="N69" i="96"/>
  <c r="AF69" i="96"/>
  <c r="AE69" i="96"/>
  <c r="N76" i="96"/>
  <c r="AF76" i="96"/>
  <c r="AE76" i="96"/>
  <c r="Q42" i="96"/>
  <c r="P42" i="96"/>
  <c r="AF36" i="96"/>
  <c r="AE36" i="96"/>
  <c r="N36" i="96"/>
  <c r="AF16" i="96"/>
  <c r="AE16" i="96"/>
  <c r="N16" i="96"/>
  <c r="Q45" i="96"/>
  <c r="P45" i="96"/>
  <c r="AF12" i="96"/>
  <c r="AE12" i="96"/>
  <c r="N12" i="96"/>
  <c r="Q21" i="96"/>
  <c r="P21" i="96"/>
  <c r="P48" i="96"/>
  <c r="Q48" i="96"/>
  <c r="N52" i="96"/>
  <c r="AF52" i="96"/>
  <c r="AE52" i="96"/>
  <c r="M66" i="96"/>
  <c r="AF56" i="96"/>
  <c r="AE56" i="96"/>
  <c r="N56" i="96"/>
  <c r="I3" i="95"/>
  <c r="F2" i="96"/>
  <c r="AF8" i="96"/>
  <c r="AE8" i="96"/>
  <c r="N8" i="96"/>
  <c r="AF37" i="96"/>
  <c r="AE37" i="96"/>
  <c r="N37" i="96"/>
  <c r="AF39" i="96"/>
  <c r="AE39" i="96"/>
  <c r="N39" i="96"/>
  <c r="AF43" i="96"/>
  <c r="AE43" i="96"/>
  <c r="N43" i="96"/>
  <c r="AF67" i="96"/>
  <c r="M72" i="96"/>
  <c r="AE67" i="96"/>
  <c r="N67" i="96"/>
  <c r="N74" i="96"/>
  <c r="AF74" i="96"/>
  <c r="AE74" i="96"/>
  <c r="AF19" i="96"/>
  <c r="AE19" i="96"/>
  <c r="N19" i="96"/>
  <c r="Q77" i="96"/>
  <c r="P77" i="96"/>
  <c r="N78" i="96"/>
  <c r="AF78" i="96"/>
  <c r="AE78" i="96"/>
  <c r="N70" i="96"/>
  <c r="AF70" i="96"/>
  <c r="AE70" i="96"/>
  <c r="AF15" i="96"/>
  <c r="AE15" i="96"/>
  <c r="M23" i="96"/>
  <c r="N15" i="96"/>
  <c r="AE55" i="96"/>
  <c r="N55" i="96"/>
  <c r="AF55" i="96"/>
  <c r="AG51" i="96" s="1"/>
  <c r="AF33" i="96"/>
  <c r="AE33" i="96"/>
  <c r="M41" i="96"/>
  <c r="N33" i="96"/>
  <c r="AF11" i="96"/>
  <c r="AE11" i="96"/>
  <c r="N11" i="96"/>
  <c r="AF13" i="96"/>
  <c r="AE13" i="96"/>
  <c r="N13" i="96"/>
  <c r="P46" i="96"/>
  <c r="Q46" i="96"/>
  <c r="N57" i="96"/>
  <c r="AF57" i="96"/>
  <c r="AE57" i="96"/>
  <c r="Q79" i="96"/>
  <c r="P79" i="96"/>
  <c r="AF9" i="96"/>
  <c r="AG5" i="96" s="1"/>
  <c r="AE9" i="96"/>
  <c r="N9" i="96"/>
  <c r="AF35" i="96"/>
  <c r="AE35" i="96"/>
  <c r="N35" i="96"/>
  <c r="Q53" i="96"/>
  <c r="P53" i="96"/>
  <c r="AF29" i="96"/>
  <c r="AE29" i="96"/>
  <c r="N29" i="96"/>
  <c r="AF40" i="96"/>
  <c r="AE40" i="96"/>
  <c r="N40" i="96"/>
  <c r="N49" i="96"/>
  <c r="AF49" i="96"/>
  <c r="AE49" i="96"/>
  <c r="AF68" i="96"/>
  <c r="AE68" i="96"/>
  <c r="N68" i="96"/>
  <c r="N73" i="96"/>
  <c r="AF73" i="96"/>
  <c r="AE73" i="96"/>
  <c r="M81" i="96"/>
  <c r="N75" i="96"/>
  <c r="AF75" i="96"/>
  <c r="AE75" i="96"/>
  <c r="AE60" i="96"/>
  <c r="N60" i="96"/>
  <c r="AF60" i="96"/>
  <c r="AF7" i="96"/>
  <c r="AE7" i="96"/>
  <c r="N7" i="96"/>
  <c r="Q22" i="96"/>
  <c r="P22" i="96"/>
  <c r="Q26" i="96"/>
  <c r="P26" i="96"/>
  <c r="AF31" i="96"/>
  <c r="AE31" i="96"/>
  <c r="N31" i="96"/>
  <c r="N44" i="96"/>
  <c r="AF44" i="96"/>
  <c r="AE44" i="96"/>
  <c r="AF18" i="96"/>
  <c r="AE18" i="96"/>
  <c r="N18" i="96"/>
  <c r="AF20" i="96"/>
  <c r="AE20" i="96"/>
  <c r="N20" i="96"/>
  <c r="AF38" i="96"/>
  <c r="AE38" i="96"/>
  <c r="N38" i="96"/>
  <c r="N71" i="96"/>
  <c r="AF71" i="96"/>
  <c r="AE71" i="96"/>
  <c r="AE27" i="96"/>
  <c r="AF28" i="96"/>
  <c r="AE26" i="96"/>
  <c r="M32" i="96"/>
  <c r="AE53" i="96"/>
  <c r="N64" i="96"/>
  <c r="N5" i="96"/>
  <c r="N6" i="96"/>
  <c r="AE24" i="96"/>
  <c r="AE25" i="96"/>
  <c r="AF26" i="96"/>
  <c r="AE51" i="96"/>
  <c r="AF53" i="96"/>
  <c r="N63" i="96"/>
  <c r="N65" i="96"/>
  <c r="AE48" i="96"/>
  <c r="AF51" i="96"/>
  <c r="N62" i="96"/>
  <c r="AE22" i="96"/>
  <c r="AF48" i="96"/>
  <c r="AF22" i="96"/>
  <c r="AE46" i="96"/>
  <c r="M50" i="96"/>
  <c r="N58" i="96"/>
  <c r="N80" i="96"/>
  <c r="AE5" i="96"/>
  <c r="P51" i="96"/>
  <c r="P54" i="96"/>
  <c r="AE63" i="96"/>
  <c r="AE65" i="96"/>
  <c r="AE62" i="96"/>
  <c r="AE64" i="96"/>
  <c r="P24" i="96"/>
  <c r="P25" i="96"/>
  <c r="AE59" i="96"/>
  <c r="AE61" i="96"/>
  <c r="E6" i="95"/>
  <c r="F6" i="95"/>
  <c r="AD77" i="94"/>
  <c r="Z77" i="94"/>
  <c r="Y77" i="94"/>
  <c r="M18" i="93" s="1"/>
  <c r="O77" i="94"/>
  <c r="K77" i="94"/>
  <c r="V76" i="94"/>
  <c r="U76" i="94"/>
  <c r="O76" i="94"/>
  <c r="M76" i="94"/>
  <c r="AE76" i="94" s="1"/>
  <c r="K76" i="94"/>
  <c r="G76" i="94"/>
  <c r="AF75" i="94"/>
  <c r="AE75" i="94"/>
  <c r="V75" i="94"/>
  <c r="U75" i="94"/>
  <c r="O75" i="94"/>
  <c r="M75" i="94"/>
  <c r="N75" i="94" s="1"/>
  <c r="K75" i="94"/>
  <c r="G75" i="94"/>
  <c r="AF74" i="94"/>
  <c r="AE74" i="94"/>
  <c r="X74" i="94"/>
  <c r="W74" i="94"/>
  <c r="V74" i="94"/>
  <c r="U74" i="94"/>
  <c r="O74" i="94"/>
  <c r="M74" i="94"/>
  <c r="N74" i="94" s="1"/>
  <c r="K74" i="94"/>
  <c r="G74" i="94"/>
  <c r="AF73" i="94"/>
  <c r="AE73" i="94"/>
  <c r="V73" i="94"/>
  <c r="U73" i="94"/>
  <c r="O73" i="94"/>
  <c r="M73" i="94"/>
  <c r="N73" i="94" s="1"/>
  <c r="K73" i="94"/>
  <c r="G73" i="94"/>
  <c r="V72" i="94"/>
  <c r="M72" i="94" s="1"/>
  <c r="U72" i="94"/>
  <c r="O72" i="94"/>
  <c r="K72" i="94"/>
  <c r="G72" i="94"/>
  <c r="V71" i="94"/>
  <c r="M71" i="94" s="1"/>
  <c r="U71" i="94"/>
  <c r="O71" i="94"/>
  <c r="K71" i="94"/>
  <c r="G71" i="94"/>
  <c r="AF70" i="94"/>
  <c r="AE70" i="94"/>
  <c r="X70" i="94"/>
  <c r="W70" i="94"/>
  <c r="V70" i="94"/>
  <c r="O70" i="94"/>
  <c r="M70" i="94"/>
  <c r="N70" i="94" s="1"/>
  <c r="K70" i="94"/>
  <c r="G70" i="94"/>
  <c r="AD69" i="94"/>
  <c r="Z69" i="94"/>
  <c r="Y69" i="94"/>
  <c r="O69" i="94"/>
  <c r="K69" i="94"/>
  <c r="V68" i="94"/>
  <c r="M68" i="94" s="1"/>
  <c r="U68" i="94"/>
  <c r="O68" i="94"/>
  <c r="K68" i="94"/>
  <c r="G68" i="94"/>
  <c r="V67" i="94"/>
  <c r="M67" i="94" s="1"/>
  <c r="U67" i="94"/>
  <c r="O67" i="94"/>
  <c r="K67" i="94"/>
  <c r="G67" i="94"/>
  <c r="V66" i="94"/>
  <c r="M66" i="94" s="1"/>
  <c r="U66" i="94"/>
  <c r="O66" i="94"/>
  <c r="K66" i="94"/>
  <c r="G66" i="94"/>
  <c r="V65" i="94"/>
  <c r="M65" i="94" s="1"/>
  <c r="U65" i="94"/>
  <c r="O65" i="94"/>
  <c r="K65" i="94"/>
  <c r="G65" i="94"/>
  <c r="V64" i="94"/>
  <c r="M64" i="94" s="1"/>
  <c r="O64" i="94"/>
  <c r="K64" i="94"/>
  <c r="G64" i="94"/>
  <c r="AD63" i="94"/>
  <c r="Z63" i="94"/>
  <c r="I19" i="93" s="1"/>
  <c r="Y63" i="94"/>
  <c r="I18" i="93" s="1"/>
  <c r="O63" i="94"/>
  <c r="K63" i="94"/>
  <c r="V62" i="94"/>
  <c r="U62" i="94"/>
  <c r="O62" i="94"/>
  <c r="N62" i="94"/>
  <c r="Q62" i="94" s="1"/>
  <c r="M62" i="94"/>
  <c r="AF62" i="94" s="1"/>
  <c r="K62" i="94"/>
  <c r="G62" i="94"/>
  <c r="X61" i="94"/>
  <c r="W61" i="94"/>
  <c r="V61" i="94"/>
  <c r="M61" i="94" s="1"/>
  <c r="U61" i="94"/>
  <c r="O61" i="94"/>
  <c r="K61" i="94"/>
  <c r="G61" i="94"/>
  <c r="V60" i="94"/>
  <c r="U60" i="94"/>
  <c r="O60" i="94"/>
  <c r="N60" i="94"/>
  <c r="Q60" i="94" s="1"/>
  <c r="M60" i="94"/>
  <c r="AF60" i="94" s="1"/>
  <c r="K60" i="94"/>
  <c r="G60" i="94"/>
  <c r="V59" i="94"/>
  <c r="U59" i="94"/>
  <c r="O59" i="94"/>
  <c r="M59" i="94"/>
  <c r="AF59" i="94" s="1"/>
  <c r="K59" i="94"/>
  <c r="G59" i="94"/>
  <c r="V58" i="94"/>
  <c r="U58" i="94"/>
  <c r="O58" i="94"/>
  <c r="M58" i="94"/>
  <c r="AF58" i="94" s="1"/>
  <c r="K58" i="94"/>
  <c r="G58" i="94"/>
  <c r="V57" i="94"/>
  <c r="U57" i="94"/>
  <c r="O57" i="94"/>
  <c r="M57" i="94"/>
  <c r="AF57" i="94" s="1"/>
  <c r="K57" i="94"/>
  <c r="G57" i="94"/>
  <c r="V56" i="94"/>
  <c r="U56" i="94"/>
  <c r="O56" i="94"/>
  <c r="M56" i="94"/>
  <c r="AE56" i="94" s="1"/>
  <c r="K56" i="94"/>
  <c r="G56" i="94"/>
  <c r="V55" i="94"/>
  <c r="O55" i="94"/>
  <c r="M55" i="94"/>
  <c r="AE55" i="94" s="1"/>
  <c r="K55" i="94"/>
  <c r="G55" i="94"/>
  <c r="AD54" i="94"/>
  <c r="Z54" i="94"/>
  <c r="Y54" i="94"/>
  <c r="O54" i="94"/>
  <c r="K54" i="94"/>
  <c r="V53" i="94"/>
  <c r="M53" i="94" s="1"/>
  <c r="U53" i="94"/>
  <c r="O53" i="94"/>
  <c r="K53" i="94"/>
  <c r="G53" i="94"/>
  <c r="V52" i="94"/>
  <c r="M52" i="94" s="1"/>
  <c r="U52" i="94"/>
  <c r="O52" i="94"/>
  <c r="K52" i="94"/>
  <c r="G52" i="94"/>
  <c r="V51" i="94"/>
  <c r="M51" i="94" s="1"/>
  <c r="U51" i="94"/>
  <c r="O51" i="94"/>
  <c r="K51" i="94"/>
  <c r="G51" i="94"/>
  <c r="X50" i="94"/>
  <c r="W50" i="94"/>
  <c r="V50" i="94"/>
  <c r="M50" i="94" s="1"/>
  <c r="O50" i="94"/>
  <c r="K50" i="94"/>
  <c r="G50" i="94"/>
  <c r="AD49" i="94"/>
  <c r="L21" i="93" s="1"/>
  <c r="Z49" i="94"/>
  <c r="L19" i="93" s="1"/>
  <c r="Y49" i="94"/>
  <c r="O49" i="94"/>
  <c r="K49" i="94"/>
  <c r="V48" i="94"/>
  <c r="M48" i="94" s="1"/>
  <c r="U48" i="94"/>
  <c r="O48" i="94"/>
  <c r="K48" i="94"/>
  <c r="G48" i="94"/>
  <c r="V47" i="94"/>
  <c r="M47" i="94" s="1"/>
  <c r="U47" i="94"/>
  <c r="O47" i="94"/>
  <c r="K47" i="94"/>
  <c r="G47" i="94"/>
  <c r="V46" i="94"/>
  <c r="M46" i="94" s="1"/>
  <c r="U46" i="94"/>
  <c r="O46" i="94"/>
  <c r="K46" i="94"/>
  <c r="G46" i="94"/>
  <c r="X45" i="94"/>
  <c r="W45" i="94"/>
  <c r="V45" i="94"/>
  <c r="M45" i="94" s="1"/>
  <c r="U45" i="94"/>
  <c r="O45" i="94"/>
  <c r="K45" i="94"/>
  <c r="G45" i="94"/>
  <c r="V44" i="94"/>
  <c r="M44" i="94" s="1"/>
  <c r="U44" i="94"/>
  <c r="O44" i="94"/>
  <c r="K44" i="94"/>
  <c r="G44" i="94"/>
  <c r="V43" i="94"/>
  <c r="M43" i="94" s="1"/>
  <c r="U43" i="94"/>
  <c r="O43" i="94"/>
  <c r="K43" i="94"/>
  <c r="G43" i="94"/>
  <c r="V42" i="94"/>
  <c r="U42" i="94"/>
  <c r="O42" i="94"/>
  <c r="N42" i="94"/>
  <c r="Q42" i="94" s="1"/>
  <c r="M42" i="94"/>
  <c r="AF42" i="94" s="1"/>
  <c r="K42" i="94"/>
  <c r="G42" i="94"/>
  <c r="X41" i="94"/>
  <c r="W41" i="94"/>
  <c r="V41" i="94"/>
  <c r="M41" i="94" s="1"/>
  <c r="O41" i="94"/>
  <c r="K41" i="94"/>
  <c r="G41" i="94"/>
  <c r="AD40" i="94"/>
  <c r="Z40" i="94"/>
  <c r="K19" i="93" s="1"/>
  <c r="Y40" i="94"/>
  <c r="K18" i="93" s="1"/>
  <c r="O40" i="94"/>
  <c r="K40" i="94"/>
  <c r="V39" i="94"/>
  <c r="U39" i="94"/>
  <c r="O39" i="94"/>
  <c r="N39" i="94"/>
  <c r="Q39" i="94" s="1"/>
  <c r="M39" i="94"/>
  <c r="AF39" i="94" s="1"/>
  <c r="K39" i="94"/>
  <c r="G39" i="94"/>
  <c r="V38" i="94"/>
  <c r="U38" i="94"/>
  <c r="O38" i="94"/>
  <c r="M38" i="94"/>
  <c r="AF38" i="94" s="1"/>
  <c r="K38" i="94"/>
  <c r="G38" i="94"/>
  <c r="V37" i="94"/>
  <c r="U37" i="94"/>
  <c r="O37" i="94"/>
  <c r="M37" i="94"/>
  <c r="AF37" i="94" s="1"/>
  <c r="K37" i="94"/>
  <c r="G37" i="94"/>
  <c r="X36" i="94"/>
  <c r="W36" i="94"/>
  <c r="V36" i="94"/>
  <c r="U36" i="94"/>
  <c r="O36" i="94"/>
  <c r="M36" i="94"/>
  <c r="AF36" i="94" s="1"/>
  <c r="K36" i="94"/>
  <c r="G36" i="94"/>
  <c r="V35" i="94"/>
  <c r="U35" i="94"/>
  <c r="O35" i="94"/>
  <c r="M35" i="94"/>
  <c r="AF35" i="94" s="1"/>
  <c r="K35" i="94"/>
  <c r="G35" i="94"/>
  <c r="V34" i="94"/>
  <c r="U34" i="94"/>
  <c r="O34" i="94"/>
  <c r="M34" i="94"/>
  <c r="AF34" i="94" s="1"/>
  <c r="K34" i="94"/>
  <c r="G34" i="94"/>
  <c r="X33" i="94"/>
  <c r="W33" i="94"/>
  <c r="V33" i="94"/>
  <c r="O33" i="94"/>
  <c r="M33" i="94"/>
  <c r="AF33" i="94" s="1"/>
  <c r="K33" i="94"/>
  <c r="G33" i="94"/>
  <c r="AD32" i="94"/>
  <c r="Z32" i="94"/>
  <c r="Y32" i="94"/>
  <c r="O32" i="94"/>
  <c r="K32" i="94"/>
  <c r="V31" i="94"/>
  <c r="U31" i="94"/>
  <c r="O31" i="94"/>
  <c r="M31" i="94"/>
  <c r="AF31" i="94" s="1"/>
  <c r="K31" i="94"/>
  <c r="G31" i="94"/>
  <c r="X30" i="94"/>
  <c r="W30" i="94"/>
  <c r="V30" i="94"/>
  <c r="U30" i="94"/>
  <c r="O30" i="94"/>
  <c r="M30" i="94"/>
  <c r="AE30" i="94" s="1"/>
  <c r="K30" i="94"/>
  <c r="G30" i="94"/>
  <c r="V29" i="94"/>
  <c r="U29" i="94"/>
  <c r="O29" i="94"/>
  <c r="M29" i="94"/>
  <c r="AF29" i="94" s="1"/>
  <c r="K29" i="94"/>
  <c r="G29" i="94"/>
  <c r="V28" i="94"/>
  <c r="U28" i="94"/>
  <c r="O28" i="94"/>
  <c r="M28" i="94"/>
  <c r="AE28" i="94" s="1"/>
  <c r="K28" i="94"/>
  <c r="G28" i="94"/>
  <c r="AF27" i="94"/>
  <c r="AE27" i="94"/>
  <c r="V27" i="94"/>
  <c r="U27" i="94"/>
  <c r="O27" i="94"/>
  <c r="M27" i="94"/>
  <c r="N27" i="94" s="1"/>
  <c r="K27" i="94"/>
  <c r="G27" i="94"/>
  <c r="V26" i="94"/>
  <c r="M26" i="94" s="1"/>
  <c r="U26" i="94"/>
  <c r="O26" i="94"/>
  <c r="K26" i="94"/>
  <c r="G26" i="94"/>
  <c r="V25" i="94"/>
  <c r="M25" i="94" s="1"/>
  <c r="U25" i="94"/>
  <c r="O25" i="94"/>
  <c r="K25" i="94"/>
  <c r="G25" i="94"/>
  <c r="V24" i="94"/>
  <c r="M24" i="94" s="1"/>
  <c r="O24" i="94"/>
  <c r="K24" i="94"/>
  <c r="G24" i="94"/>
  <c r="AD23" i="94"/>
  <c r="F21" i="93" s="1"/>
  <c r="Z23" i="94"/>
  <c r="F19" i="93" s="1"/>
  <c r="Y23" i="94"/>
  <c r="O23" i="94"/>
  <c r="K23" i="94"/>
  <c r="V22" i="94"/>
  <c r="M22" i="94" s="1"/>
  <c r="U22" i="94"/>
  <c r="O22" i="94"/>
  <c r="K22" i="94"/>
  <c r="G22" i="94"/>
  <c r="V21" i="94"/>
  <c r="M21" i="94" s="1"/>
  <c r="U21" i="94"/>
  <c r="O21" i="94"/>
  <c r="K21" i="94"/>
  <c r="G21" i="94"/>
  <c r="V20" i="94"/>
  <c r="M20" i="94" s="1"/>
  <c r="U20" i="94"/>
  <c r="O20" i="94"/>
  <c r="K20" i="94"/>
  <c r="G20" i="94"/>
  <c r="V19" i="94"/>
  <c r="U19" i="94"/>
  <c r="O19" i="94"/>
  <c r="N19" i="94"/>
  <c r="M19" i="94"/>
  <c r="AF19" i="94" s="1"/>
  <c r="K19" i="94"/>
  <c r="G19" i="94"/>
  <c r="V18" i="94"/>
  <c r="U18" i="94"/>
  <c r="O18" i="94"/>
  <c r="M18" i="94"/>
  <c r="K18" i="94"/>
  <c r="G18" i="94"/>
  <c r="V17" i="94"/>
  <c r="U17" i="94"/>
  <c r="O17" i="94"/>
  <c r="M17" i="94"/>
  <c r="AF17" i="94" s="1"/>
  <c r="K17" i="94"/>
  <c r="G17" i="94"/>
  <c r="X16" i="94"/>
  <c r="W16" i="94"/>
  <c r="V16" i="94"/>
  <c r="O16" i="94"/>
  <c r="N16" i="94"/>
  <c r="M16" i="94"/>
  <c r="AF16" i="94" s="1"/>
  <c r="K16" i="94"/>
  <c r="G16" i="94"/>
  <c r="AD15" i="94"/>
  <c r="E21" i="93" s="1"/>
  <c r="Z15" i="94"/>
  <c r="Y15" i="94"/>
  <c r="O15" i="94"/>
  <c r="K15" i="94"/>
  <c r="V14" i="94"/>
  <c r="U14" i="94"/>
  <c r="O14" i="94"/>
  <c r="M14" i="94"/>
  <c r="AF14" i="94" s="1"/>
  <c r="K14" i="94"/>
  <c r="G14" i="94"/>
  <c r="V13" i="94"/>
  <c r="U13" i="94"/>
  <c r="O13" i="94"/>
  <c r="M13" i="94"/>
  <c r="AF13" i="94" s="1"/>
  <c r="K13" i="94"/>
  <c r="G13" i="94"/>
  <c r="X12" i="94"/>
  <c r="W12" i="94"/>
  <c r="V12" i="94"/>
  <c r="U12" i="94"/>
  <c r="O12" i="94"/>
  <c r="M12" i="94"/>
  <c r="AE12" i="94" s="1"/>
  <c r="K12" i="94"/>
  <c r="G12" i="94"/>
  <c r="V11" i="94"/>
  <c r="U11" i="94"/>
  <c r="O11" i="94"/>
  <c r="M11" i="94"/>
  <c r="AF11" i="94" s="1"/>
  <c r="K11" i="94"/>
  <c r="G11" i="94"/>
  <c r="X10" i="94"/>
  <c r="W10" i="94"/>
  <c r="V10" i="94"/>
  <c r="O10" i="94"/>
  <c r="M10" i="94"/>
  <c r="K10" i="94"/>
  <c r="G10" i="94"/>
  <c r="AD9" i="94"/>
  <c r="Z9" i="94"/>
  <c r="Z2" i="94" s="1"/>
  <c r="Y9" i="94"/>
  <c r="Y2" i="94" s="1"/>
  <c r="O9" i="94"/>
  <c r="M9" i="94"/>
  <c r="K9" i="94"/>
  <c r="V8" i="94"/>
  <c r="U8" i="94"/>
  <c r="O8" i="94"/>
  <c r="M8" i="94"/>
  <c r="AF8" i="94" s="1"/>
  <c r="K8" i="94"/>
  <c r="G8" i="94"/>
  <c r="X7" i="94"/>
  <c r="W7" i="94"/>
  <c r="V7" i="94"/>
  <c r="U7" i="94"/>
  <c r="O7" i="94"/>
  <c r="M7" i="94"/>
  <c r="AE7" i="94" s="1"/>
  <c r="K7" i="94"/>
  <c r="G7" i="94"/>
  <c r="V6" i="94"/>
  <c r="U6" i="94"/>
  <c r="O6" i="94"/>
  <c r="M6" i="94"/>
  <c r="AF6" i="94" s="1"/>
  <c r="K6" i="94"/>
  <c r="G6" i="94"/>
  <c r="V5" i="94"/>
  <c r="O5" i="94"/>
  <c r="M5" i="94"/>
  <c r="AF5" i="94" s="1"/>
  <c r="K5" i="94"/>
  <c r="G5" i="94"/>
  <c r="H2" i="94"/>
  <c r="H1" i="94"/>
  <c r="D1" i="94"/>
  <c r="M22" i="93"/>
  <c r="L22" i="93"/>
  <c r="K22" i="93"/>
  <c r="J22" i="93"/>
  <c r="I22" i="93"/>
  <c r="H22" i="93"/>
  <c r="G22" i="93"/>
  <c r="F22" i="93"/>
  <c r="E22" i="93"/>
  <c r="D22" i="93"/>
  <c r="M21" i="93"/>
  <c r="K21" i="93"/>
  <c r="J21" i="93"/>
  <c r="I21" i="93"/>
  <c r="H21" i="93"/>
  <c r="G21" i="93"/>
  <c r="D21" i="93"/>
  <c r="M20" i="93"/>
  <c r="L20" i="93"/>
  <c r="K20" i="93"/>
  <c r="J20" i="93"/>
  <c r="I20" i="93"/>
  <c r="H20" i="93"/>
  <c r="G20" i="93"/>
  <c r="F20" i="93"/>
  <c r="E20" i="93"/>
  <c r="D20" i="93"/>
  <c r="M19" i="93"/>
  <c r="J19" i="93"/>
  <c r="H19" i="93"/>
  <c r="G19" i="93"/>
  <c r="E19" i="93"/>
  <c r="D19" i="93"/>
  <c r="L18" i="93"/>
  <c r="J18" i="93"/>
  <c r="H18" i="93"/>
  <c r="G18" i="93"/>
  <c r="F18" i="93"/>
  <c r="E18" i="93"/>
  <c r="D18" i="93"/>
  <c r="M17" i="93"/>
  <c r="L17" i="93"/>
  <c r="K17" i="93"/>
  <c r="J17" i="93"/>
  <c r="I17" i="93"/>
  <c r="H17" i="93"/>
  <c r="G17" i="93"/>
  <c r="F17" i="93"/>
  <c r="E17" i="93"/>
  <c r="D17" i="93"/>
  <c r="M16" i="93"/>
  <c r="L16" i="93"/>
  <c r="K16" i="93"/>
  <c r="J16" i="93"/>
  <c r="I16" i="93"/>
  <c r="H16" i="93"/>
  <c r="G16" i="93"/>
  <c r="F16" i="93"/>
  <c r="E16" i="93"/>
  <c r="D16" i="93"/>
  <c r="M13" i="93"/>
  <c r="L13" i="93"/>
  <c r="K13" i="93"/>
  <c r="I6" i="93" s="1"/>
  <c r="J13" i="93"/>
  <c r="I13" i="93"/>
  <c r="H13" i="93"/>
  <c r="G13" i="93"/>
  <c r="F13" i="93"/>
  <c r="E13" i="93"/>
  <c r="D13" i="93"/>
  <c r="F6" i="93" s="1"/>
  <c r="M6" i="93"/>
  <c r="L6" i="93"/>
  <c r="K6" i="93"/>
  <c r="F3" i="93"/>
  <c r="C3" i="93"/>
  <c r="G8" i="101" l="1"/>
  <c r="F8" i="101"/>
  <c r="E8" i="101"/>
  <c r="K15" i="99"/>
  <c r="I8" i="99" s="1"/>
  <c r="I7" i="99"/>
  <c r="D15" i="99"/>
  <c r="G7" i="99"/>
  <c r="F7" i="99"/>
  <c r="E7" i="99"/>
  <c r="P20" i="98"/>
  <c r="Q20" i="98"/>
  <c r="R13" i="98" s="1"/>
  <c r="F14" i="97"/>
  <c r="P52" i="98"/>
  <c r="Q52" i="98"/>
  <c r="R48" i="98" s="1"/>
  <c r="P38" i="98"/>
  <c r="Q38" i="98"/>
  <c r="R30" i="98" s="1"/>
  <c r="K14" i="97"/>
  <c r="Q47" i="98"/>
  <c r="R39" i="98" s="1"/>
  <c r="P47" i="98"/>
  <c r="Q66" i="98"/>
  <c r="R61" i="98" s="1"/>
  <c r="P66" i="98"/>
  <c r="Q15" i="96"/>
  <c r="P15" i="96"/>
  <c r="Q58" i="96"/>
  <c r="P58" i="96"/>
  <c r="Q78" i="96"/>
  <c r="P78" i="96"/>
  <c r="Q34" i="96"/>
  <c r="P34" i="96"/>
  <c r="N50" i="96"/>
  <c r="AF50" i="96"/>
  <c r="AG42" i="96" s="1"/>
  <c r="AE50" i="96"/>
  <c r="Q35" i="96"/>
  <c r="P35" i="96"/>
  <c r="H14" i="95"/>
  <c r="H15" i="95" s="1"/>
  <c r="Q55" i="96"/>
  <c r="R51" i="96" s="1"/>
  <c r="P55" i="96"/>
  <c r="Q43" i="96"/>
  <c r="P43" i="96"/>
  <c r="P71" i="96"/>
  <c r="Q71" i="96"/>
  <c r="Q44" i="96"/>
  <c r="P44" i="96"/>
  <c r="Q60" i="96"/>
  <c r="P60" i="96"/>
  <c r="Q13" i="96"/>
  <c r="P13" i="96"/>
  <c r="Q12" i="96"/>
  <c r="P12" i="96"/>
  <c r="D14" i="95"/>
  <c r="Q9" i="96"/>
  <c r="R5" i="96" s="1"/>
  <c r="P9" i="96"/>
  <c r="Q39" i="96"/>
  <c r="P39" i="96"/>
  <c r="Q38" i="96"/>
  <c r="P38" i="96"/>
  <c r="Q5" i="96"/>
  <c r="P5" i="96"/>
  <c r="Q40" i="96"/>
  <c r="P40" i="96"/>
  <c r="Q11" i="96"/>
  <c r="P11" i="96"/>
  <c r="Q76" i="96"/>
  <c r="P76" i="96"/>
  <c r="Q56" i="96"/>
  <c r="P56" i="96"/>
  <c r="Q62" i="96"/>
  <c r="P62" i="96"/>
  <c r="Q64" i="96"/>
  <c r="P64" i="96"/>
  <c r="Q20" i="96"/>
  <c r="P20" i="96"/>
  <c r="Q75" i="96"/>
  <c r="P75" i="96"/>
  <c r="AF66" i="96"/>
  <c r="AG56" i="96" s="1"/>
  <c r="AE66" i="96"/>
  <c r="N66" i="96"/>
  <c r="AF14" i="96"/>
  <c r="AG10" i="96" s="1"/>
  <c r="AE14" i="96"/>
  <c r="N14" i="96"/>
  <c r="Q31" i="96"/>
  <c r="P31" i="96"/>
  <c r="Q19" i="96"/>
  <c r="P19" i="96"/>
  <c r="N23" i="96"/>
  <c r="AF23" i="96"/>
  <c r="AG15" i="96" s="1"/>
  <c r="AE23" i="96"/>
  <c r="AF81" i="96"/>
  <c r="AG73" i="96" s="1"/>
  <c r="AE81" i="96"/>
  <c r="N81" i="96"/>
  <c r="Q37" i="96"/>
  <c r="P37" i="96"/>
  <c r="Q16" i="96"/>
  <c r="P16" i="96"/>
  <c r="Q10" i="96"/>
  <c r="P10" i="96"/>
  <c r="AF32" i="96"/>
  <c r="AG24" i="96" s="1"/>
  <c r="AE32" i="96"/>
  <c r="N32" i="96"/>
  <c r="Q29" i="96"/>
  <c r="P29" i="96"/>
  <c r="Q33" i="96"/>
  <c r="P33" i="96"/>
  <c r="P74" i="96"/>
  <c r="Q74" i="96"/>
  <c r="Q69" i="96"/>
  <c r="P69" i="96"/>
  <c r="Q49" i="96"/>
  <c r="P49" i="96"/>
  <c r="Q65" i="96"/>
  <c r="P65" i="96"/>
  <c r="Q18" i="96"/>
  <c r="P18" i="96"/>
  <c r="N41" i="96"/>
  <c r="AF41" i="96"/>
  <c r="AG33" i="96" s="1"/>
  <c r="AE41" i="96"/>
  <c r="Q70" i="96"/>
  <c r="P70" i="96"/>
  <c r="Q67" i="96"/>
  <c r="P67" i="96"/>
  <c r="Q52" i="96"/>
  <c r="P52" i="96"/>
  <c r="Q17" i="96"/>
  <c r="P17" i="96"/>
  <c r="Q63" i="96"/>
  <c r="P63" i="96"/>
  <c r="Q7" i="96"/>
  <c r="P7" i="96"/>
  <c r="Q73" i="96"/>
  <c r="P73" i="96"/>
  <c r="Q8" i="96"/>
  <c r="P8" i="96"/>
  <c r="Q36" i="96"/>
  <c r="P36" i="96"/>
  <c r="Q30" i="96"/>
  <c r="P30" i="96"/>
  <c r="Q6" i="96"/>
  <c r="P6" i="96"/>
  <c r="Q80" i="96"/>
  <c r="P80" i="96"/>
  <c r="Q68" i="96"/>
  <c r="P68" i="96"/>
  <c r="Q57" i="96"/>
  <c r="P57" i="96"/>
  <c r="N72" i="96"/>
  <c r="AF72" i="96"/>
  <c r="AG67" i="96" s="1"/>
  <c r="AE72" i="96"/>
  <c r="N66" i="94"/>
  <c r="AF66" i="94"/>
  <c r="AE66" i="94"/>
  <c r="Q73" i="94"/>
  <c r="P73" i="94"/>
  <c r="N41" i="94"/>
  <c r="AF41" i="94"/>
  <c r="AE41" i="94"/>
  <c r="M49" i="94"/>
  <c r="N45" i="94"/>
  <c r="AF45" i="94"/>
  <c r="AE45" i="94"/>
  <c r="N47" i="94"/>
  <c r="AF47" i="94"/>
  <c r="AE47" i="94"/>
  <c r="N64" i="94"/>
  <c r="AF64" i="94"/>
  <c r="M69" i="94"/>
  <c r="AE64" i="94"/>
  <c r="Q19" i="94"/>
  <c r="P19" i="94"/>
  <c r="AF10" i="94"/>
  <c r="AE10" i="94"/>
  <c r="N10" i="94"/>
  <c r="M15" i="94"/>
  <c r="N21" i="94"/>
  <c r="AF21" i="94"/>
  <c r="AE21" i="94"/>
  <c r="N26" i="94"/>
  <c r="AF26" i="94"/>
  <c r="AE26" i="94"/>
  <c r="AF43" i="94"/>
  <c r="AE43" i="94"/>
  <c r="N43" i="94"/>
  <c r="N50" i="94"/>
  <c r="M54" i="94"/>
  <c r="AF50" i="94"/>
  <c r="AE50" i="94"/>
  <c r="N52" i="94"/>
  <c r="AF52" i="94"/>
  <c r="AE52" i="94"/>
  <c r="N67" i="94"/>
  <c r="AF67" i="94"/>
  <c r="AE67" i="94"/>
  <c r="N71" i="94"/>
  <c r="AF71" i="94"/>
  <c r="M77" i="94"/>
  <c r="AE71" i="94"/>
  <c r="E6" i="93"/>
  <c r="G6" i="93"/>
  <c r="F1" i="94"/>
  <c r="N24" i="94"/>
  <c r="AF24" i="94"/>
  <c r="AE24" i="94"/>
  <c r="M32" i="94"/>
  <c r="Q70" i="94"/>
  <c r="P70" i="94"/>
  <c r="Q16" i="94"/>
  <c r="P16" i="94"/>
  <c r="Q27" i="94"/>
  <c r="P27" i="94"/>
  <c r="N48" i="94"/>
  <c r="AF48" i="94"/>
  <c r="AE48" i="94"/>
  <c r="N65" i="94"/>
  <c r="AF65" i="94"/>
  <c r="AE65" i="94"/>
  <c r="Q75" i="94"/>
  <c r="P75" i="94"/>
  <c r="AF9" i="94"/>
  <c r="AG5" i="94" s="1"/>
  <c r="AE9" i="94"/>
  <c r="N9" i="94"/>
  <c r="AF18" i="94"/>
  <c r="AE18" i="94"/>
  <c r="N18" i="94"/>
  <c r="AF61" i="94"/>
  <c r="AE61" i="94"/>
  <c r="N61" i="94"/>
  <c r="N22" i="94"/>
  <c r="AF22" i="94"/>
  <c r="AE22" i="94"/>
  <c r="N44" i="94"/>
  <c r="AF44" i="94"/>
  <c r="AE44" i="94"/>
  <c r="N46" i="94"/>
  <c r="AF46" i="94"/>
  <c r="AE46" i="94"/>
  <c r="N53" i="94"/>
  <c r="AF53" i="94"/>
  <c r="AE53" i="94"/>
  <c r="Q74" i="94"/>
  <c r="P74" i="94"/>
  <c r="N68" i="94"/>
  <c r="AF68" i="94"/>
  <c r="AE68" i="94"/>
  <c r="N72" i="94"/>
  <c r="AF72" i="94"/>
  <c r="AE72" i="94"/>
  <c r="AF20" i="94"/>
  <c r="AE20" i="94"/>
  <c r="N20" i="94"/>
  <c r="N25" i="94"/>
  <c r="AF25" i="94"/>
  <c r="AE25" i="94"/>
  <c r="N51" i="94"/>
  <c r="AF51" i="94"/>
  <c r="AE51" i="94"/>
  <c r="AD2" i="94"/>
  <c r="N6" i="93" s="1"/>
  <c r="AF7" i="94"/>
  <c r="AF12" i="94"/>
  <c r="AF28" i="94"/>
  <c r="AF30" i="94"/>
  <c r="AF55" i="94"/>
  <c r="AF56" i="94"/>
  <c r="AF76" i="94"/>
  <c r="N33" i="94"/>
  <c r="N36" i="94"/>
  <c r="N38" i="94"/>
  <c r="N59" i="94"/>
  <c r="N7" i="94"/>
  <c r="N12" i="94"/>
  <c r="N14" i="94"/>
  <c r="N17" i="94"/>
  <c r="N30" i="94"/>
  <c r="N35" i="94"/>
  <c r="N37" i="94"/>
  <c r="P39" i="94"/>
  <c r="P42" i="94"/>
  <c r="N58" i="94"/>
  <c r="P60" i="94"/>
  <c r="P62" i="94"/>
  <c r="N5" i="94"/>
  <c r="N6" i="94"/>
  <c r="N8" i="94"/>
  <c r="N11" i="94"/>
  <c r="N13" i="94"/>
  <c r="N29" i="94"/>
  <c r="N31" i="94"/>
  <c r="N34" i="94"/>
  <c r="N57" i="94"/>
  <c r="N28" i="94"/>
  <c r="N55" i="94"/>
  <c r="N56" i="94"/>
  <c r="N76" i="94"/>
  <c r="AE19" i="94"/>
  <c r="M23" i="94"/>
  <c r="AE39" i="94"/>
  <c r="AE42" i="94"/>
  <c r="AE60" i="94"/>
  <c r="AE62" i="94"/>
  <c r="AE38" i="94"/>
  <c r="AE59" i="94"/>
  <c r="AE14" i="94"/>
  <c r="AE16" i="94"/>
  <c r="AE17" i="94"/>
  <c r="AE35" i="94"/>
  <c r="AE37" i="94"/>
  <c r="AE58" i="94"/>
  <c r="AE5" i="94"/>
  <c r="AE6" i="94"/>
  <c r="AE8" i="94"/>
  <c r="AE11" i="94"/>
  <c r="AE13" i="94"/>
  <c r="AE29" i="94"/>
  <c r="AE31" i="94"/>
  <c r="AE33" i="94"/>
  <c r="AE34" i="94"/>
  <c r="AE36" i="94"/>
  <c r="M40" i="94"/>
  <c r="AE57" i="94"/>
  <c r="M63" i="94"/>
  <c r="AD76" i="92"/>
  <c r="Z76" i="92"/>
  <c r="Y76" i="92"/>
  <c r="O76" i="92"/>
  <c r="M76" i="92"/>
  <c r="K76" i="92"/>
  <c r="M13" i="91" s="1"/>
  <c r="AE75" i="92"/>
  <c r="V75" i="92"/>
  <c r="U75" i="92"/>
  <c r="O75" i="92"/>
  <c r="N75" i="92"/>
  <c r="Q75" i="92" s="1"/>
  <c r="M75" i="92"/>
  <c r="AF75" i="92" s="1"/>
  <c r="K75" i="92"/>
  <c r="G75" i="92"/>
  <c r="V74" i="92"/>
  <c r="U74" i="92"/>
  <c r="O74" i="92"/>
  <c r="N74" i="92"/>
  <c r="M74" i="92"/>
  <c r="K74" i="92"/>
  <c r="G74" i="92"/>
  <c r="AF73" i="92"/>
  <c r="AE73" i="92"/>
  <c r="V73" i="92"/>
  <c r="M73" i="92" s="1"/>
  <c r="N73" i="92" s="1"/>
  <c r="U73" i="92"/>
  <c r="Q73" i="92"/>
  <c r="P73" i="92"/>
  <c r="O73" i="92"/>
  <c r="K73" i="92"/>
  <c r="G73" i="92"/>
  <c r="X72" i="92"/>
  <c r="W72" i="92"/>
  <c r="V72" i="92"/>
  <c r="U72" i="92"/>
  <c r="O72" i="92"/>
  <c r="N72" i="92"/>
  <c r="P72" i="92" s="1"/>
  <c r="M72" i="92"/>
  <c r="K72" i="92"/>
  <c r="G72" i="92"/>
  <c r="AF71" i="92"/>
  <c r="AE71" i="92"/>
  <c r="V71" i="92"/>
  <c r="M71" i="92" s="1"/>
  <c r="N71" i="92" s="1"/>
  <c r="U71" i="92"/>
  <c r="O71" i="92"/>
  <c r="K71" i="92"/>
  <c r="G71" i="92"/>
  <c r="AE70" i="92"/>
  <c r="V70" i="92"/>
  <c r="U70" i="92"/>
  <c r="O70" i="92"/>
  <c r="N70" i="92"/>
  <c r="P70" i="92" s="1"/>
  <c r="M70" i="92"/>
  <c r="AF70" i="92" s="1"/>
  <c r="K70" i="92"/>
  <c r="G70" i="92"/>
  <c r="AF69" i="92"/>
  <c r="V69" i="92"/>
  <c r="U69" i="92"/>
  <c r="O69" i="92"/>
  <c r="M69" i="92"/>
  <c r="AE69" i="92" s="1"/>
  <c r="K69" i="92"/>
  <c r="G69" i="92"/>
  <c r="AE68" i="92"/>
  <c r="X68" i="92"/>
  <c r="W68" i="92"/>
  <c r="V68" i="92"/>
  <c r="M68" i="92" s="1"/>
  <c r="O68" i="92"/>
  <c r="K68" i="92"/>
  <c r="G68" i="92"/>
  <c r="AD67" i="92"/>
  <c r="Z67" i="92"/>
  <c r="Y67" i="92"/>
  <c r="O67" i="92"/>
  <c r="K67" i="92"/>
  <c r="AF66" i="92"/>
  <c r="AE66" i="92"/>
  <c r="V66" i="92"/>
  <c r="M66" i="92" s="1"/>
  <c r="N66" i="92" s="1"/>
  <c r="P66" i="92" s="1"/>
  <c r="U66" i="92"/>
  <c r="Q66" i="92"/>
  <c r="O66" i="92"/>
  <c r="K66" i="92"/>
  <c r="G66" i="92"/>
  <c r="V65" i="92"/>
  <c r="U65" i="92"/>
  <c r="O65" i="92"/>
  <c r="N65" i="92"/>
  <c r="P65" i="92" s="1"/>
  <c r="M65" i="92"/>
  <c r="K65" i="92"/>
  <c r="G65" i="92"/>
  <c r="AF64" i="92"/>
  <c r="AE64" i="92"/>
  <c r="V64" i="92"/>
  <c r="M64" i="92" s="1"/>
  <c r="N64" i="92" s="1"/>
  <c r="U64" i="92"/>
  <c r="O64" i="92"/>
  <c r="K64" i="92"/>
  <c r="G64" i="92"/>
  <c r="V63" i="92"/>
  <c r="U63" i="92"/>
  <c r="O63" i="92"/>
  <c r="M63" i="92"/>
  <c r="AF63" i="92" s="1"/>
  <c r="K63" i="92"/>
  <c r="G63" i="92"/>
  <c r="V62" i="92"/>
  <c r="O62" i="92"/>
  <c r="M62" i="92"/>
  <c r="AF62" i="92" s="1"/>
  <c r="K62" i="92"/>
  <c r="G62" i="92"/>
  <c r="AD61" i="92"/>
  <c r="Z61" i="92"/>
  <c r="Y61" i="92"/>
  <c r="O61" i="92"/>
  <c r="N61" i="92"/>
  <c r="I14" i="91" s="1"/>
  <c r="I15" i="91" s="1"/>
  <c r="K61" i="92"/>
  <c r="V60" i="92"/>
  <c r="U60" i="92"/>
  <c r="O60" i="92"/>
  <c r="N60" i="92"/>
  <c r="M60" i="92"/>
  <c r="K60" i="92"/>
  <c r="G60" i="92"/>
  <c r="AF59" i="92"/>
  <c r="AE59" i="92"/>
  <c r="V59" i="92"/>
  <c r="M59" i="92" s="1"/>
  <c r="N59" i="92" s="1"/>
  <c r="U59" i="92"/>
  <c r="Q59" i="92"/>
  <c r="P59" i="92"/>
  <c r="O59" i="92"/>
  <c r="K59" i="92"/>
  <c r="G59" i="92"/>
  <c r="V58" i="92"/>
  <c r="U58" i="92"/>
  <c r="O58" i="92"/>
  <c r="M58" i="92"/>
  <c r="K58" i="92"/>
  <c r="G58" i="92"/>
  <c r="AF57" i="92"/>
  <c r="AE57" i="92"/>
  <c r="V57" i="92"/>
  <c r="M57" i="92" s="1"/>
  <c r="N57" i="92" s="1"/>
  <c r="P57" i="92" s="1"/>
  <c r="U57" i="92"/>
  <c r="Q57" i="92"/>
  <c r="O57" i="92"/>
  <c r="K57" i="92"/>
  <c r="G57" i="92"/>
  <c r="V56" i="92"/>
  <c r="U56" i="92"/>
  <c r="O56" i="92"/>
  <c r="N56" i="92"/>
  <c r="P56" i="92" s="1"/>
  <c r="M56" i="92"/>
  <c r="K56" i="92"/>
  <c r="G56" i="92"/>
  <c r="AF55" i="92"/>
  <c r="AE55" i="92"/>
  <c r="V55" i="92"/>
  <c r="M55" i="92" s="1"/>
  <c r="N55" i="92" s="1"/>
  <c r="U55" i="92"/>
  <c r="O55" i="92"/>
  <c r="K55" i="92"/>
  <c r="G55" i="92"/>
  <c r="AF54" i="92"/>
  <c r="AE54" i="92"/>
  <c r="V54" i="92"/>
  <c r="O54" i="92"/>
  <c r="N54" i="92"/>
  <c r="Q54" i="92" s="1"/>
  <c r="M54" i="92"/>
  <c r="M61" i="92" s="1"/>
  <c r="AF61" i="92" s="1"/>
  <c r="AG54" i="92" s="1"/>
  <c r="K54" i="92"/>
  <c r="G54" i="92"/>
  <c r="AD53" i="92"/>
  <c r="Z53" i="92"/>
  <c r="Y53" i="92"/>
  <c r="O53" i="92"/>
  <c r="M53" i="92"/>
  <c r="K53" i="92"/>
  <c r="AE52" i="92"/>
  <c r="V52" i="92"/>
  <c r="U52" i="92"/>
  <c r="O52" i="92"/>
  <c r="M52" i="92"/>
  <c r="AF52" i="92" s="1"/>
  <c r="K52" i="92"/>
  <c r="G52" i="92"/>
  <c r="V51" i="92"/>
  <c r="U51" i="92"/>
  <c r="O51" i="92"/>
  <c r="N51" i="92"/>
  <c r="M51" i="92"/>
  <c r="K51" i="92"/>
  <c r="G51" i="92"/>
  <c r="AF50" i="92"/>
  <c r="AE50" i="92"/>
  <c r="V50" i="92"/>
  <c r="M50" i="92" s="1"/>
  <c r="N50" i="92" s="1"/>
  <c r="U50" i="92"/>
  <c r="Q50" i="92"/>
  <c r="P50" i="92"/>
  <c r="O50" i="92"/>
  <c r="K50" i="92"/>
  <c r="G50" i="92"/>
  <c r="X49" i="92"/>
  <c r="W49" i="92"/>
  <c r="V49" i="92"/>
  <c r="O49" i="92"/>
  <c r="N49" i="92"/>
  <c r="Q49" i="92" s="1"/>
  <c r="M49" i="92"/>
  <c r="K49" i="92"/>
  <c r="G49" i="92"/>
  <c r="AF48" i="92"/>
  <c r="AG40" i="92" s="1"/>
  <c r="AE48" i="92"/>
  <c r="AD48" i="92"/>
  <c r="Z48" i="92"/>
  <c r="Y48" i="92"/>
  <c r="O48" i="92"/>
  <c r="K48" i="92"/>
  <c r="L13" i="91" s="1"/>
  <c r="AF47" i="92"/>
  <c r="AE47" i="92"/>
  <c r="V47" i="92"/>
  <c r="U47" i="92"/>
  <c r="O47" i="92"/>
  <c r="N47" i="92"/>
  <c r="Q47" i="92" s="1"/>
  <c r="M47" i="92"/>
  <c r="K47" i="92"/>
  <c r="G47" i="92"/>
  <c r="V46" i="92"/>
  <c r="U46" i="92"/>
  <c r="O46" i="92"/>
  <c r="M46" i="92"/>
  <c r="AF46" i="92" s="1"/>
  <c r="K46" i="92"/>
  <c r="G46" i="92"/>
  <c r="AE45" i="92"/>
  <c r="V45" i="92"/>
  <c r="U45" i="92"/>
  <c r="O45" i="92"/>
  <c r="M45" i="92"/>
  <c r="AF45" i="92" s="1"/>
  <c r="K45" i="92"/>
  <c r="G45" i="92"/>
  <c r="X44" i="92"/>
  <c r="W44" i="92"/>
  <c r="V44" i="92"/>
  <c r="U44" i="92"/>
  <c r="O44" i="92"/>
  <c r="M44" i="92"/>
  <c r="K44" i="92"/>
  <c r="G44" i="92"/>
  <c r="AF43" i="92"/>
  <c r="AE43" i="92"/>
  <c r="V43" i="92"/>
  <c r="M43" i="92" s="1"/>
  <c r="N43" i="92" s="1"/>
  <c r="P43" i="92" s="1"/>
  <c r="U43" i="92"/>
  <c r="Q43" i="92"/>
  <c r="O43" i="92"/>
  <c r="K43" i="92"/>
  <c r="G43" i="92"/>
  <c r="V42" i="92"/>
  <c r="U42" i="92"/>
  <c r="Q42" i="92"/>
  <c r="O42" i="92"/>
  <c r="N42" i="92"/>
  <c r="P42" i="92" s="1"/>
  <c r="M42" i="92"/>
  <c r="K42" i="92"/>
  <c r="G42" i="92"/>
  <c r="AF41" i="92"/>
  <c r="AE41" i="92"/>
  <c r="V41" i="92"/>
  <c r="M41" i="92" s="1"/>
  <c r="N41" i="92" s="1"/>
  <c r="U41" i="92"/>
  <c r="O41" i="92"/>
  <c r="K41" i="92"/>
  <c r="G41" i="92"/>
  <c r="AF40" i="92"/>
  <c r="AE40" i="92"/>
  <c r="X40" i="92"/>
  <c r="W40" i="92"/>
  <c r="V40" i="92"/>
  <c r="Q40" i="92"/>
  <c r="P40" i="92"/>
  <c r="O40" i="92"/>
  <c r="N40" i="92"/>
  <c r="M40" i="92"/>
  <c r="M48" i="92" s="1"/>
  <c r="N48" i="92" s="1"/>
  <c r="K40" i="92"/>
  <c r="G40" i="92"/>
  <c r="AD39" i="92"/>
  <c r="Z39" i="92"/>
  <c r="Y39" i="92"/>
  <c r="O39" i="92"/>
  <c r="K39" i="92"/>
  <c r="K13" i="91" s="1"/>
  <c r="I6" i="91" s="1"/>
  <c r="AF38" i="92"/>
  <c r="AE38" i="92"/>
  <c r="V38" i="92"/>
  <c r="M38" i="92" s="1"/>
  <c r="N38" i="92" s="1"/>
  <c r="U38" i="92"/>
  <c r="Q38" i="92"/>
  <c r="P38" i="92"/>
  <c r="O38" i="92"/>
  <c r="K38" i="92"/>
  <c r="G38" i="92"/>
  <c r="V37" i="92"/>
  <c r="U37" i="92"/>
  <c r="O37" i="92"/>
  <c r="M37" i="92"/>
  <c r="K37" i="92"/>
  <c r="G37" i="92"/>
  <c r="AF36" i="92"/>
  <c r="AE36" i="92"/>
  <c r="V36" i="92"/>
  <c r="M36" i="92" s="1"/>
  <c r="N36" i="92" s="1"/>
  <c r="P36" i="92" s="1"/>
  <c r="U36" i="92"/>
  <c r="Q36" i="92"/>
  <c r="O36" i="92"/>
  <c r="K36" i="92"/>
  <c r="G36" i="92"/>
  <c r="X35" i="92"/>
  <c r="W35" i="92"/>
  <c r="V35" i="92"/>
  <c r="U35" i="92"/>
  <c r="O35" i="92"/>
  <c r="N35" i="92"/>
  <c r="P35" i="92" s="1"/>
  <c r="M35" i="92"/>
  <c r="K35" i="92"/>
  <c r="G35" i="92"/>
  <c r="AF34" i="92"/>
  <c r="V34" i="92"/>
  <c r="U34" i="92"/>
  <c r="O34" i="92"/>
  <c r="M34" i="92"/>
  <c r="AE34" i="92" s="1"/>
  <c r="K34" i="92"/>
  <c r="G34" i="92"/>
  <c r="AF33" i="92"/>
  <c r="V33" i="92"/>
  <c r="U33" i="92"/>
  <c r="O33" i="92"/>
  <c r="N33" i="92"/>
  <c r="Q33" i="92" s="1"/>
  <c r="M33" i="92"/>
  <c r="AE33" i="92" s="1"/>
  <c r="K33" i="92"/>
  <c r="G33" i="92"/>
  <c r="X32" i="92"/>
  <c r="W32" i="92"/>
  <c r="V32" i="92"/>
  <c r="O32" i="92"/>
  <c r="M32" i="92"/>
  <c r="K32" i="92"/>
  <c r="G32" i="92"/>
  <c r="AD31" i="92"/>
  <c r="G21" i="91" s="1"/>
  <c r="Z31" i="92"/>
  <c r="G19" i="91" s="1"/>
  <c r="Y31" i="92"/>
  <c r="G18" i="91" s="1"/>
  <c r="O31" i="92"/>
  <c r="K31" i="92"/>
  <c r="V30" i="92"/>
  <c r="U30" i="92"/>
  <c r="O30" i="92"/>
  <c r="N30" i="92"/>
  <c r="P30" i="92" s="1"/>
  <c r="M30" i="92"/>
  <c r="K30" i="92"/>
  <c r="G30" i="92"/>
  <c r="AF29" i="92"/>
  <c r="AE29" i="92"/>
  <c r="V29" i="92"/>
  <c r="M29" i="92" s="1"/>
  <c r="N29" i="92" s="1"/>
  <c r="U29" i="92"/>
  <c r="O29" i="92"/>
  <c r="K29" i="92"/>
  <c r="G29" i="92"/>
  <c r="AE28" i="92"/>
  <c r="V28" i="92"/>
  <c r="U28" i="92"/>
  <c r="O28" i="92"/>
  <c r="N28" i="92"/>
  <c r="Q28" i="92" s="1"/>
  <c r="M28" i="92"/>
  <c r="AF28" i="92" s="1"/>
  <c r="K28" i="92"/>
  <c r="G28" i="92"/>
  <c r="AF27" i="92"/>
  <c r="V27" i="92"/>
  <c r="U27" i="92"/>
  <c r="O27" i="92"/>
  <c r="M27" i="92"/>
  <c r="AE27" i="92" s="1"/>
  <c r="K27" i="92"/>
  <c r="G27" i="92"/>
  <c r="AF26" i="92"/>
  <c r="V26" i="92"/>
  <c r="U26" i="92"/>
  <c r="O26" i="92"/>
  <c r="M26" i="92"/>
  <c r="AE26" i="92" s="1"/>
  <c r="K26" i="92"/>
  <c r="G26" i="92"/>
  <c r="V25" i="92"/>
  <c r="O25" i="92"/>
  <c r="N25" i="92"/>
  <c r="M25" i="92"/>
  <c r="K25" i="92"/>
  <c r="G25" i="92"/>
  <c r="AD24" i="92"/>
  <c r="Z24" i="92"/>
  <c r="Z2" i="92" s="1"/>
  <c r="L6" i="91" s="1"/>
  <c r="Y24" i="92"/>
  <c r="F18" i="91" s="1"/>
  <c r="O24" i="92"/>
  <c r="K24" i="92"/>
  <c r="V23" i="92"/>
  <c r="U23" i="92"/>
  <c r="O23" i="92"/>
  <c r="M23" i="92"/>
  <c r="K23" i="92"/>
  <c r="G23" i="92"/>
  <c r="AF22" i="92"/>
  <c r="AE22" i="92"/>
  <c r="V22" i="92"/>
  <c r="M22" i="92" s="1"/>
  <c r="N22" i="92" s="1"/>
  <c r="P22" i="92" s="1"/>
  <c r="U22" i="92"/>
  <c r="Q22" i="92"/>
  <c r="O22" i="92"/>
  <c r="K22" i="92"/>
  <c r="G22" i="92"/>
  <c r="V21" i="92"/>
  <c r="U21" i="92"/>
  <c r="Q21" i="92"/>
  <c r="O21" i="92"/>
  <c r="N21" i="92"/>
  <c r="P21" i="92" s="1"/>
  <c r="M21" i="92"/>
  <c r="K21" i="92"/>
  <c r="G21" i="92"/>
  <c r="AF20" i="92"/>
  <c r="AE20" i="92"/>
  <c r="V20" i="92"/>
  <c r="M20" i="92" s="1"/>
  <c r="N20" i="92" s="1"/>
  <c r="U20" i="92"/>
  <c r="O20" i="92"/>
  <c r="K20" i="92"/>
  <c r="G20" i="92"/>
  <c r="AE19" i="92"/>
  <c r="X19" i="92"/>
  <c r="W19" i="92"/>
  <c r="V19" i="92"/>
  <c r="U19" i="92"/>
  <c r="O19" i="92"/>
  <c r="M19" i="92"/>
  <c r="AF19" i="92" s="1"/>
  <c r="K19" i="92"/>
  <c r="G19" i="92"/>
  <c r="V18" i="92"/>
  <c r="U18" i="92"/>
  <c r="O18" i="92"/>
  <c r="N18" i="92"/>
  <c r="M18" i="92"/>
  <c r="K18" i="92"/>
  <c r="G18" i="92"/>
  <c r="AF17" i="92"/>
  <c r="AE17" i="92"/>
  <c r="V17" i="92"/>
  <c r="M17" i="92" s="1"/>
  <c r="U17" i="92"/>
  <c r="O17" i="92"/>
  <c r="N17" i="92"/>
  <c r="Q17" i="92" s="1"/>
  <c r="K17" i="92"/>
  <c r="G17" i="92"/>
  <c r="X16" i="92"/>
  <c r="W16" i="92"/>
  <c r="V16" i="92"/>
  <c r="O16" i="92"/>
  <c r="N16" i="92"/>
  <c r="P16" i="92" s="1"/>
  <c r="M16" i="92"/>
  <c r="K16" i="92"/>
  <c r="G16" i="92"/>
  <c r="AD15" i="92"/>
  <c r="Z15" i="92"/>
  <c r="Y15" i="92"/>
  <c r="O15" i="92"/>
  <c r="K15" i="92"/>
  <c r="AF14" i="92"/>
  <c r="AE14" i="92"/>
  <c r="V14" i="92"/>
  <c r="U14" i="92"/>
  <c r="O14" i="92"/>
  <c r="M14" i="92"/>
  <c r="N14" i="92" s="1"/>
  <c r="K14" i="92"/>
  <c r="G14" i="92"/>
  <c r="AF13" i="92"/>
  <c r="V13" i="92"/>
  <c r="U13" i="92"/>
  <c r="O13" i="92"/>
  <c r="M13" i="92"/>
  <c r="AE13" i="92" s="1"/>
  <c r="K13" i="92"/>
  <c r="G13" i="92"/>
  <c r="AF12" i="92"/>
  <c r="X12" i="92"/>
  <c r="W12" i="92"/>
  <c r="V12" i="92"/>
  <c r="M12" i="92" s="1"/>
  <c r="AE12" i="92" s="1"/>
  <c r="U12" i="92"/>
  <c r="Q12" i="92"/>
  <c r="P12" i="92"/>
  <c r="O12" i="92"/>
  <c r="N12" i="92"/>
  <c r="K12" i="92"/>
  <c r="G12" i="92"/>
  <c r="V11" i="92"/>
  <c r="M11" i="92" s="1"/>
  <c r="U11" i="92"/>
  <c r="P11" i="92"/>
  <c r="O11" i="92"/>
  <c r="N11" i="92"/>
  <c r="Q11" i="92" s="1"/>
  <c r="K11" i="92"/>
  <c r="G11" i="92"/>
  <c r="AF10" i="92"/>
  <c r="AE10" i="92"/>
  <c r="X10" i="92"/>
  <c r="W10" i="92"/>
  <c r="V10" i="92"/>
  <c r="M10" i="92" s="1"/>
  <c r="O10" i="92"/>
  <c r="K10" i="92"/>
  <c r="G10" i="92"/>
  <c r="AD9" i="92"/>
  <c r="AD2" i="92" s="1"/>
  <c r="N6" i="91" s="1"/>
  <c r="Z9" i="92"/>
  <c r="Y9" i="92"/>
  <c r="D18" i="91" s="1"/>
  <c r="O9" i="92"/>
  <c r="M9" i="92"/>
  <c r="AF9" i="92" s="1"/>
  <c r="AG5" i="92" s="1"/>
  <c r="K9" i="92"/>
  <c r="AF8" i="92"/>
  <c r="V8" i="92"/>
  <c r="U8" i="92"/>
  <c r="O8" i="92"/>
  <c r="M8" i="92"/>
  <c r="AE8" i="92" s="1"/>
  <c r="K8" i="92"/>
  <c r="G8" i="92"/>
  <c r="AF7" i="92"/>
  <c r="X7" i="92"/>
  <c r="W7" i="92"/>
  <c r="V7" i="92"/>
  <c r="M7" i="92" s="1"/>
  <c r="AE7" i="92" s="1"/>
  <c r="U7" i="92"/>
  <c r="Q7" i="92"/>
  <c r="P7" i="92"/>
  <c r="O7" i="92"/>
  <c r="N7" i="92"/>
  <c r="K7" i="92"/>
  <c r="G7" i="92"/>
  <c r="V6" i="92"/>
  <c r="M6" i="92" s="1"/>
  <c r="U6" i="92"/>
  <c r="O6" i="92"/>
  <c r="N6" i="92"/>
  <c r="Q6" i="92" s="1"/>
  <c r="K6" i="92"/>
  <c r="G6" i="92"/>
  <c r="AF5" i="92"/>
  <c r="AE5" i="92"/>
  <c r="V5" i="92"/>
  <c r="M5" i="92" s="1"/>
  <c r="N5" i="92" s="1"/>
  <c r="P5" i="92" s="1"/>
  <c r="Q5" i="92"/>
  <c r="O5" i="92"/>
  <c r="K5" i="92"/>
  <c r="G5" i="92"/>
  <c r="Y2" i="92"/>
  <c r="K6" i="91" s="1"/>
  <c r="H2" i="92"/>
  <c r="H1" i="92"/>
  <c r="F1" i="92"/>
  <c r="I3" i="91" s="1"/>
  <c r="D1" i="92"/>
  <c r="M22" i="91"/>
  <c r="L22" i="91"/>
  <c r="K22" i="91"/>
  <c r="J22" i="91"/>
  <c r="I22" i="91"/>
  <c r="H22" i="91"/>
  <c r="G22" i="91"/>
  <c r="F22" i="91"/>
  <c r="E22" i="91"/>
  <c r="D22" i="91"/>
  <c r="M21" i="91"/>
  <c r="L21" i="91"/>
  <c r="K21" i="91"/>
  <c r="J21" i="91"/>
  <c r="I21" i="91"/>
  <c r="H21" i="91"/>
  <c r="F21" i="91"/>
  <c r="E21" i="91"/>
  <c r="D21" i="91"/>
  <c r="M20" i="91"/>
  <c r="L20" i="91"/>
  <c r="K20" i="91"/>
  <c r="J20" i="91"/>
  <c r="I20" i="91"/>
  <c r="H20" i="91"/>
  <c r="G20" i="91"/>
  <c r="F20" i="91"/>
  <c r="E20" i="91"/>
  <c r="D20" i="91"/>
  <c r="M19" i="91"/>
  <c r="L19" i="91"/>
  <c r="K19" i="91"/>
  <c r="J19" i="91"/>
  <c r="I19" i="91"/>
  <c r="H19" i="91"/>
  <c r="F19" i="91"/>
  <c r="E19" i="91"/>
  <c r="D19" i="91"/>
  <c r="M18" i="91"/>
  <c r="L18" i="91"/>
  <c r="K18" i="91"/>
  <c r="J18" i="91"/>
  <c r="I18" i="91"/>
  <c r="H18" i="91"/>
  <c r="E18" i="91"/>
  <c r="M17" i="91"/>
  <c r="L17" i="91"/>
  <c r="K17" i="91"/>
  <c r="J17" i="91"/>
  <c r="I17" i="91"/>
  <c r="H17" i="91"/>
  <c r="G17" i="91"/>
  <c r="F17" i="91"/>
  <c r="E17" i="91"/>
  <c r="D17" i="91"/>
  <c r="M16" i="91"/>
  <c r="L16" i="91"/>
  <c r="K16" i="91"/>
  <c r="J16" i="91"/>
  <c r="I16" i="91"/>
  <c r="H16" i="91"/>
  <c r="G16" i="91"/>
  <c r="F16" i="91"/>
  <c r="E16" i="91"/>
  <c r="D16" i="91"/>
  <c r="L14" i="91"/>
  <c r="L15" i="91" s="1"/>
  <c r="J13" i="91"/>
  <c r="I13" i="91"/>
  <c r="H13" i="91"/>
  <c r="G13" i="91"/>
  <c r="F13" i="91"/>
  <c r="E13" i="91"/>
  <c r="D13" i="91"/>
  <c r="G6" i="91" s="1"/>
  <c r="M6" i="91"/>
  <c r="F3" i="91"/>
  <c r="C3" i="91"/>
  <c r="F8" i="99" l="1"/>
  <c r="G8" i="99"/>
  <c r="E8" i="99"/>
  <c r="K15" i="97"/>
  <c r="I8" i="97" s="1"/>
  <c r="I7" i="97"/>
  <c r="F15" i="97"/>
  <c r="F7" i="97"/>
  <c r="E7" i="97"/>
  <c r="G7" i="97"/>
  <c r="E14" i="95"/>
  <c r="E15" i="95" s="1"/>
  <c r="Q14" i="96"/>
  <c r="R10" i="96" s="1"/>
  <c r="P14" i="96"/>
  <c r="K14" i="95"/>
  <c r="Q41" i="96"/>
  <c r="R33" i="96" s="1"/>
  <c r="P41" i="96"/>
  <c r="M14" i="95"/>
  <c r="M15" i="95" s="1"/>
  <c r="Q81" i="96"/>
  <c r="R73" i="96" s="1"/>
  <c r="P81" i="96"/>
  <c r="I14" i="95"/>
  <c r="I15" i="95" s="1"/>
  <c r="Q66" i="96"/>
  <c r="R56" i="96" s="1"/>
  <c r="P66" i="96"/>
  <c r="L14" i="95"/>
  <c r="L15" i="95" s="1"/>
  <c r="Q50" i="96"/>
  <c r="R42" i="96" s="1"/>
  <c r="P50" i="96"/>
  <c r="G14" i="95"/>
  <c r="G15" i="95" s="1"/>
  <c r="Q32" i="96"/>
  <c r="R24" i="96" s="1"/>
  <c r="P32" i="96"/>
  <c r="D2" i="96"/>
  <c r="D15" i="95"/>
  <c r="J14" i="95"/>
  <c r="J15" i="95" s="1"/>
  <c r="Q72" i="96"/>
  <c r="R67" i="96" s="1"/>
  <c r="P72" i="96"/>
  <c r="Q23" i="96"/>
  <c r="R15" i="96" s="1"/>
  <c r="F14" i="95"/>
  <c r="F15" i="95" s="1"/>
  <c r="P23" i="96"/>
  <c r="F2" i="94"/>
  <c r="I3" i="93"/>
  <c r="N40" i="94"/>
  <c r="AF40" i="94"/>
  <c r="AG33" i="94" s="1"/>
  <c r="AE40" i="94"/>
  <c r="Q6" i="94"/>
  <c r="P6" i="94"/>
  <c r="Q12" i="94"/>
  <c r="P12" i="94"/>
  <c r="Q46" i="94"/>
  <c r="P46" i="94"/>
  <c r="AF15" i="94"/>
  <c r="AG10" i="94" s="1"/>
  <c r="AE15" i="94"/>
  <c r="N15" i="94"/>
  <c r="Q47" i="94"/>
  <c r="P47" i="94"/>
  <c r="Q66" i="94"/>
  <c r="P66" i="94"/>
  <c r="Q76" i="94"/>
  <c r="P76" i="94"/>
  <c r="Q5" i="94"/>
  <c r="P5" i="94"/>
  <c r="Q7" i="94"/>
  <c r="P7" i="94"/>
  <c r="Q72" i="94"/>
  <c r="P72" i="94"/>
  <c r="Q9" i="94"/>
  <c r="R5" i="94" s="1"/>
  <c r="P9" i="94"/>
  <c r="D14" i="93"/>
  <c r="N54" i="94"/>
  <c r="D2" i="94" s="1"/>
  <c r="AE54" i="94"/>
  <c r="AF54" i="94"/>
  <c r="AG50" i="94" s="1"/>
  <c r="Q10" i="94"/>
  <c r="P10" i="94"/>
  <c r="Q56" i="94"/>
  <c r="P56" i="94"/>
  <c r="Q59" i="94"/>
  <c r="P59" i="94"/>
  <c r="AF77" i="94"/>
  <c r="AG70" i="94" s="1"/>
  <c r="AE77" i="94"/>
  <c r="N77" i="94"/>
  <c r="Q50" i="94"/>
  <c r="P50" i="94"/>
  <c r="Q55" i="94"/>
  <c r="P55" i="94"/>
  <c r="Q38" i="94"/>
  <c r="P38" i="94"/>
  <c r="Q44" i="94"/>
  <c r="P44" i="94"/>
  <c r="Q43" i="94"/>
  <c r="P43" i="94"/>
  <c r="Q45" i="94"/>
  <c r="P45" i="94"/>
  <c r="Q52" i="94"/>
  <c r="P52" i="94"/>
  <c r="Q8" i="94"/>
  <c r="P8" i="94"/>
  <c r="P48" i="94"/>
  <c r="Q48" i="94"/>
  <c r="N63" i="94"/>
  <c r="AF63" i="94"/>
  <c r="AG55" i="94" s="1"/>
  <c r="AE63" i="94"/>
  <c r="Q11" i="94"/>
  <c r="P11" i="94"/>
  <c r="Q18" i="94"/>
  <c r="P18" i="94"/>
  <c r="Q28" i="94"/>
  <c r="P28" i="94"/>
  <c r="Q58" i="94"/>
  <c r="P58" i="94"/>
  <c r="Q36" i="94"/>
  <c r="P36" i="94"/>
  <c r="P51" i="94"/>
  <c r="Q51" i="94"/>
  <c r="Q68" i="94"/>
  <c r="P68" i="94"/>
  <c r="Q71" i="94"/>
  <c r="P71" i="94"/>
  <c r="N49" i="94"/>
  <c r="AF49" i="94"/>
  <c r="AG41" i="94" s="1"/>
  <c r="AE49" i="94"/>
  <c r="Q57" i="94"/>
  <c r="P57" i="94"/>
  <c r="Q33" i="94"/>
  <c r="P33" i="94"/>
  <c r="Q34" i="94"/>
  <c r="P34" i="94"/>
  <c r="Q22" i="94"/>
  <c r="P22" i="94"/>
  <c r="AF32" i="94"/>
  <c r="AG24" i="94" s="1"/>
  <c r="AE32" i="94"/>
  <c r="N32" i="94"/>
  <c r="Q31" i="94"/>
  <c r="P31" i="94"/>
  <c r="Q37" i="94"/>
  <c r="P37" i="94"/>
  <c r="Q25" i="94"/>
  <c r="P25" i="94"/>
  <c r="Q61" i="94"/>
  <c r="P61" i="94"/>
  <c r="P67" i="94"/>
  <c r="Q67" i="94"/>
  <c r="N69" i="94"/>
  <c r="AF69" i="94"/>
  <c r="AG64" i="94" s="1"/>
  <c r="AE69" i="94"/>
  <c r="Q41" i="94"/>
  <c r="P41" i="94"/>
  <c r="Q29" i="94"/>
  <c r="P29" i="94"/>
  <c r="Q35" i="94"/>
  <c r="P35" i="94"/>
  <c r="Q20" i="94"/>
  <c r="P20" i="94"/>
  <c r="Q65" i="94"/>
  <c r="P65" i="94"/>
  <c r="Q26" i="94"/>
  <c r="P26" i="94"/>
  <c r="Q17" i="94"/>
  <c r="P17" i="94"/>
  <c r="N23" i="94"/>
  <c r="AF23" i="94"/>
  <c r="AG16" i="94" s="1"/>
  <c r="AE23" i="94"/>
  <c r="Q14" i="94"/>
  <c r="P14" i="94"/>
  <c r="Q21" i="94"/>
  <c r="P21" i="94"/>
  <c r="Q13" i="94"/>
  <c r="P13" i="94"/>
  <c r="Q30" i="94"/>
  <c r="P30" i="94"/>
  <c r="Q53" i="94"/>
  <c r="P53" i="94"/>
  <c r="Q24" i="94"/>
  <c r="P24" i="94"/>
  <c r="Q64" i="94"/>
  <c r="P64" i="94"/>
  <c r="Q14" i="92"/>
  <c r="P14" i="92"/>
  <c r="N9" i="92"/>
  <c r="Q70" i="92"/>
  <c r="Q56" i="92"/>
  <c r="E6" i="91"/>
  <c r="Q65" i="92"/>
  <c r="P6" i="92"/>
  <c r="Q61" i="92"/>
  <c r="R54" i="92" s="1"/>
  <c r="AE63" i="92"/>
  <c r="P75" i="92"/>
  <c r="Q72" i="92"/>
  <c r="F2" i="92"/>
  <c r="P61" i="92"/>
  <c r="Q35" i="92"/>
  <c r="F6" i="91"/>
  <c r="Q16" i="92"/>
  <c r="P47" i="92"/>
  <c r="P54" i="92"/>
  <c r="AE61" i="92"/>
  <c r="AE9" i="92"/>
  <c r="P28" i="92"/>
  <c r="P33" i="92"/>
  <c r="N26" i="92"/>
  <c r="N45" i="92"/>
  <c r="N52" i="92"/>
  <c r="M67" i="92"/>
  <c r="N67" i="92" s="1"/>
  <c r="N19" i="92"/>
  <c r="P17" i="92"/>
  <c r="N63" i="92"/>
  <c r="Q30" i="92"/>
  <c r="P49" i="92"/>
  <c r="AE6" i="92"/>
  <c r="AF6" i="92"/>
  <c r="D14" i="91"/>
  <c r="D15" i="91" s="1"/>
  <c r="N10" i="92"/>
  <c r="M15" i="92"/>
  <c r="AE11" i="92"/>
  <c r="AF11" i="92"/>
  <c r="M24" i="92"/>
  <c r="AF16" i="92"/>
  <c r="AE16" i="92"/>
  <c r="AF18" i="92"/>
  <c r="AE18" i="92"/>
  <c r="Q18" i="92"/>
  <c r="P18" i="92"/>
  <c r="Q20" i="92"/>
  <c r="P20" i="92"/>
  <c r="AE21" i="92"/>
  <c r="AF21" i="92"/>
  <c r="AE23" i="92"/>
  <c r="AF23" i="92"/>
  <c r="N23" i="92"/>
  <c r="AF25" i="92"/>
  <c r="AE25" i="92"/>
  <c r="M31" i="92"/>
  <c r="Q25" i="92"/>
  <c r="P25" i="92"/>
  <c r="Q29" i="92"/>
  <c r="P29" i="92"/>
  <c r="AF30" i="92"/>
  <c r="AE30" i="92"/>
  <c r="AF32" i="92"/>
  <c r="AE32" i="92"/>
  <c r="M39" i="92"/>
  <c r="N39" i="92" s="1"/>
  <c r="K14" i="91" s="1"/>
  <c r="N32" i="92"/>
  <c r="AE35" i="92"/>
  <c r="AF35" i="92"/>
  <c r="AF37" i="92"/>
  <c r="AE37" i="92"/>
  <c r="N37" i="92"/>
  <c r="Q39" i="92"/>
  <c r="R32" i="92" s="1"/>
  <c r="P39" i="92"/>
  <c r="Q48" i="92"/>
  <c r="R40" i="92" s="1"/>
  <c r="P48" i="92"/>
  <c r="Q41" i="92"/>
  <c r="P41" i="92"/>
  <c r="AE42" i="92"/>
  <c r="AF42" i="92"/>
  <c r="AF44" i="92"/>
  <c r="AE44" i="92"/>
  <c r="N44" i="92"/>
  <c r="AF49" i="92"/>
  <c r="AE49" i="92"/>
  <c r="AF51" i="92"/>
  <c r="AE51" i="92"/>
  <c r="P51" i="92"/>
  <c r="Q51" i="92"/>
  <c r="AF53" i="92"/>
  <c r="AG49" i="92" s="1"/>
  <c r="AE53" i="92"/>
  <c r="N53" i="92"/>
  <c r="Q55" i="92"/>
  <c r="P55" i="92"/>
  <c r="AE56" i="92"/>
  <c r="AF56" i="92"/>
  <c r="AE58" i="92"/>
  <c r="AF58" i="92"/>
  <c r="N58" i="92"/>
  <c r="AF60" i="92"/>
  <c r="AE60" i="92"/>
  <c r="P60" i="92"/>
  <c r="Q60" i="92"/>
  <c r="Q64" i="92"/>
  <c r="P64" i="92"/>
  <c r="AE65" i="92"/>
  <c r="AF65" i="92"/>
  <c r="AF67" i="92"/>
  <c r="AG62" i="92" s="1"/>
  <c r="AE67" i="92"/>
  <c r="N68" i="92"/>
  <c r="AF68" i="92"/>
  <c r="Q71" i="92"/>
  <c r="P71" i="92"/>
  <c r="AF72" i="92"/>
  <c r="AE72" i="92"/>
  <c r="AF74" i="92"/>
  <c r="AE74" i="92"/>
  <c r="Q74" i="92"/>
  <c r="P74" i="92"/>
  <c r="AF76" i="92"/>
  <c r="AG68" i="92" s="1"/>
  <c r="AE76" i="92"/>
  <c r="N76" i="92"/>
  <c r="M14" i="91" s="1"/>
  <c r="M15" i="91" s="1"/>
  <c r="N8" i="92"/>
  <c r="N27" i="92"/>
  <c r="N69" i="92"/>
  <c r="N46" i="92"/>
  <c r="N62" i="92"/>
  <c r="N13" i="92"/>
  <c r="N34" i="92"/>
  <c r="AE46" i="92"/>
  <c r="AE62" i="92"/>
  <c r="AD66" i="90"/>
  <c r="Z66" i="90"/>
  <c r="Y66" i="90"/>
  <c r="O66" i="90"/>
  <c r="K66" i="90"/>
  <c r="M13" i="89" s="1"/>
  <c r="V65" i="90"/>
  <c r="U65" i="90"/>
  <c r="O65" i="90"/>
  <c r="M65" i="90"/>
  <c r="AF65" i="90" s="1"/>
  <c r="K65" i="90"/>
  <c r="G65" i="90"/>
  <c r="V64" i="90"/>
  <c r="U64" i="90"/>
  <c r="O64" i="90"/>
  <c r="M64" i="90"/>
  <c r="AE64" i="90" s="1"/>
  <c r="K64" i="90"/>
  <c r="G64" i="90"/>
  <c r="AF63" i="90"/>
  <c r="AE63" i="90"/>
  <c r="V63" i="90"/>
  <c r="M63" i="90" s="1"/>
  <c r="N63" i="90" s="1"/>
  <c r="U63" i="90"/>
  <c r="Q63" i="90"/>
  <c r="P63" i="90"/>
  <c r="O63" i="90"/>
  <c r="K63" i="90"/>
  <c r="G63" i="90"/>
  <c r="V62" i="90"/>
  <c r="U62" i="90"/>
  <c r="O62" i="90"/>
  <c r="M62" i="90"/>
  <c r="K62" i="90"/>
  <c r="G62" i="90"/>
  <c r="AF61" i="90"/>
  <c r="AE61" i="90"/>
  <c r="X61" i="90"/>
  <c r="W61" i="90"/>
  <c r="V61" i="90"/>
  <c r="O61" i="90"/>
  <c r="N61" i="90"/>
  <c r="P61" i="90" s="1"/>
  <c r="M61" i="90"/>
  <c r="K61" i="90"/>
  <c r="G61" i="90"/>
  <c r="AD60" i="90"/>
  <c r="Z60" i="90"/>
  <c r="Y60" i="90"/>
  <c r="J18" i="89" s="1"/>
  <c r="O60" i="90"/>
  <c r="N60" i="90"/>
  <c r="J14" i="89" s="1"/>
  <c r="M60" i="90"/>
  <c r="K60" i="90"/>
  <c r="V59" i="90"/>
  <c r="U59" i="90"/>
  <c r="O59" i="90"/>
  <c r="M59" i="90"/>
  <c r="AF59" i="90" s="1"/>
  <c r="K59" i="90"/>
  <c r="G59" i="90"/>
  <c r="AE58" i="90"/>
  <c r="V58" i="90"/>
  <c r="U58" i="90"/>
  <c r="O58" i="90"/>
  <c r="N58" i="90"/>
  <c r="Q58" i="90" s="1"/>
  <c r="M58" i="90"/>
  <c r="AF58" i="90" s="1"/>
  <c r="K58" i="90"/>
  <c r="G58" i="90"/>
  <c r="V57" i="90"/>
  <c r="U57" i="90"/>
  <c r="O57" i="90"/>
  <c r="M57" i="90"/>
  <c r="AE57" i="90" s="1"/>
  <c r="K57" i="90"/>
  <c r="G57" i="90"/>
  <c r="AF56" i="90"/>
  <c r="AE56" i="90"/>
  <c r="V56" i="90"/>
  <c r="M56" i="90" s="1"/>
  <c r="N56" i="90" s="1"/>
  <c r="U56" i="90"/>
  <c r="Q56" i="90"/>
  <c r="P56" i="90"/>
  <c r="O56" i="90"/>
  <c r="K56" i="90"/>
  <c r="G56" i="90"/>
  <c r="V55" i="90"/>
  <c r="O55" i="90"/>
  <c r="N55" i="90"/>
  <c r="M55" i="90"/>
  <c r="K55" i="90"/>
  <c r="G55" i="90"/>
  <c r="AD54" i="90"/>
  <c r="Z54" i="90"/>
  <c r="Y54" i="90"/>
  <c r="O54" i="90"/>
  <c r="K54" i="90"/>
  <c r="V53" i="90"/>
  <c r="U53" i="90"/>
  <c r="O53" i="90"/>
  <c r="N53" i="90"/>
  <c r="Q53" i="90" s="1"/>
  <c r="M53" i="90"/>
  <c r="K53" i="90"/>
  <c r="G53" i="90"/>
  <c r="AF52" i="90"/>
  <c r="AE52" i="90"/>
  <c r="V52" i="90"/>
  <c r="U52" i="90"/>
  <c r="O52" i="90"/>
  <c r="N52" i="90"/>
  <c r="Q52" i="90" s="1"/>
  <c r="M52" i="90"/>
  <c r="K52" i="90"/>
  <c r="G52" i="90"/>
  <c r="V51" i="90"/>
  <c r="U51" i="90"/>
  <c r="O51" i="90"/>
  <c r="M51" i="90"/>
  <c r="N51" i="90" s="1"/>
  <c r="K51" i="90"/>
  <c r="G51" i="90"/>
  <c r="V50" i="90"/>
  <c r="U50" i="90"/>
  <c r="O50" i="90"/>
  <c r="M50" i="90"/>
  <c r="AF50" i="90" s="1"/>
  <c r="K50" i="90"/>
  <c r="G50" i="90"/>
  <c r="AE49" i="90"/>
  <c r="V49" i="90"/>
  <c r="U49" i="90"/>
  <c r="O49" i="90"/>
  <c r="N49" i="90"/>
  <c r="P49" i="90" s="1"/>
  <c r="M49" i="90"/>
  <c r="AF49" i="90" s="1"/>
  <c r="K49" i="90"/>
  <c r="G49" i="90"/>
  <c r="V48" i="90"/>
  <c r="U48" i="90"/>
  <c r="O48" i="90"/>
  <c r="M48" i="90"/>
  <c r="AE48" i="90" s="1"/>
  <c r="K48" i="90"/>
  <c r="G48" i="90"/>
  <c r="AF47" i="90"/>
  <c r="AE47" i="90"/>
  <c r="V47" i="90"/>
  <c r="M47" i="90" s="1"/>
  <c r="O47" i="90"/>
  <c r="K47" i="90"/>
  <c r="G47" i="90"/>
  <c r="AD46" i="90"/>
  <c r="Z46" i="90"/>
  <c r="Y46" i="90"/>
  <c r="O46" i="90"/>
  <c r="M46" i="90"/>
  <c r="N46" i="90" s="1"/>
  <c r="K46" i="90"/>
  <c r="AF45" i="90"/>
  <c r="AE45" i="90"/>
  <c r="V45" i="90"/>
  <c r="M45" i="90" s="1"/>
  <c r="N45" i="90" s="1"/>
  <c r="U45" i="90"/>
  <c r="O45" i="90"/>
  <c r="K45" i="90"/>
  <c r="G45" i="90"/>
  <c r="V44" i="90"/>
  <c r="U44" i="90"/>
  <c r="P44" i="90"/>
  <c r="O44" i="90"/>
  <c r="N44" i="90"/>
  <c r="Q44" i="90" s="1"/>
  <c r="M44" i="90"/>
  <c r="K44" i="90"/>
  <c r="G44" i="90"/>
  <c r="AF43" i="90"/>
  <c r="AE43" i="90"/>
  <c r="V43" i="90"/>
  <c r="U43" i="90"/>
  <c r="O43" i="90"/>
  <c r="N43" i="90"/>
  <c r="P43" i="90" s="1"/>
  <c r="M43" i="90"/>
  <c r="K43" i="90"/>
  <c r="G43" i="90"/>
  <c r="X42" i="90"/>
  <c r="W42" i="90"/>
  <c r="V42" i="90"/>
  <c r="M42" i="90" s="1"/>
  <c r="Q42" i="90"/>
  <c r="P42" i="90"/>
  <c r="O42" i="90"/>
  <c r="N42" i="90"/>
  <c r="K42" i="90"/>
  <c r="G42" i="90"/>
  <c r="AD41" i="90"/>
  <c r="L21" i="89" s="1"/>
  <c r="Z41" i="90"/>
  <c r="Y41" i="90"/>
  <c r="O41" i="90"/>
  <c r="M41" i="90"/>
  <c r="K41" i="90"/>
  <c r="L13" i="89" s="1"/>
  <c r="AF40" i="90"/>
  <c r="AE40" i="90"/>
  <c r="V40" i="90"/>
  <c r="M40" i="90" s="1"/>
  <c r="N40" i="90" s="1"/>
  <c r="U40" i="90"/>
  <c r="Q40" i="90"/>
  <c r="P40" i="90"/>
  <c r="O40" i="90"/>
  <c r="K40" i="90"/>
  <c r="G40" i="90"/>
  <c r="X39" i="90"/>
  <c r="W39" i="90"/>
  <c r="V39" i="90"/>
  <c r="U39" i="90"/>
  <c r="P39" i="90"/>
  <c r="O39" i="90"/>
  <c r="N39" i="90"/>
  <c r="Q39" i="90" s="1"/>
  <c r="M39" i="90"/>
  <c r="K39" i="90"/>
  <c r="G39" i="90"/>
  <c r="AF38" i="90"/>
  <c r="AE38" i="90"/>
  <c r="V38" i="90"/>
  <c r="U38" i="90"/>
  <c r="O38" i="90"/>
  <c r="N38" i="90"/>
  <c r="P38" i="90" s="1"/>
  <c r="M38" i="90"/>
  <c r="K38" i="90"/>
  <c r="G38" i="90"/>
  <c r="V37" i="90"/>
  <c r="U37" i="90"/>
  <c r="O37" i="90"/>
  <c r="N37" i="90"/>
  <c r="Q37" i="90" s="1"/>
  <c r="M37" i="90"/>
  <c r="K37" i="90"/>
  <c r="G37" i="90"/>
  <c r="V36" i="90"/>
  <c r="U36" i="90"/>
  <c r="O36" i="90"/>
  <c r="M36" i="90"/>
  <c r="AF36" i="90" s="1"/>
  <c r="K36" i="90"/>
  <c r="G36" i="90"/>
  <c r="AF35" i="90"/>
  <c r="AE35" i="90"/>
  <c r="X35" i="90"/>
  <c r="W35" i="90"/>
  <c r="V35" i="90"/>
  <c r="M35" i="90" s="1"/>
  <c r="N35" i="90" s="1"/>
  <c r="Q35" i="90"/>
  <c r="P35" i="90"/>
  <c r="O35" i="90"/>
  <c r="K35" i="90"/>
  <c r="G35" i="90"/>
  <c r="AD34" i="90"/>
  <c r="Z34" i="90"/>
  <c r="Y34" i="90"/>
  <c r="K18" i="89" s="1"/>
  <c r="O34" i="90"/>
  <c r="M34" i="90"/>
  <c r="N34" i="90" s="1"/>
  <c r="K34" i="90"/>
  <c r="AF33" i="90"/>
  <c r="AE33" i="90"/>
  <c r="V33" i="90"/>
  <c r="M33" i="90" s="1"/>
  <c r="N33" i="90" s="1"/>
  <c r="U33" i="90"/>
  <c r="O33" i="90"/>
  <c r="K33" i="90"/>
  <c r="G33" i="90"/>
  <c r="X32" i="90"/>
  <c r="W32" i="90"/>
  <c r="V32" i="90"/>
  <c r="U32" i="90"/>
  <c r="Q32" i="90"/>
  <c r="P32" i="90"/>
  <c r="O32" i="90"/>
  <c r="N32" i="90"/>
  <c r="M32" i="90"/>
  <c r="K32" i="90"/>
  <c r="G32" i="90"/>
  <c r="V31" i="90"/>
  <c r="U31" i="90"/>
  <c r="O31" i="90"/>
  <c r="M31" i="90"/>
  <c r="AF31" i="90" s="1"/>
  <c r="K31" i="90"/>
  <c r="G31" i="90"/>
  <c r="AF30" i="90"/>
  <c r="AE30" i="90"/>
  <c r="V30" i="90"/>
  <c r="U30" i="90"/>
  <c r="O30" i="90"/>
  <c r="N30" i="90"/>
  <c r="Q30" i="90" s="1"/>
  <c r="M30" i="90"/>
  <c r="K30" i="90"/>
  <c r="G30" i="90"/>
  <c r="X29" i="90"/>
  <c r="W29" i="90"/>
  <c r="V29" i="90"/>
  <c r="O29" i="90"/>
  <c r="N29" i="90"/>
  <c r="M29" i="90"/>
  <c r="K29" i="90"/>
  <c r="G29" i="90"/>
  <c r="AD28" i="90"/>
  <c r="Z28" i="90"/>
  <c r="Y28" i="90"/>
  <c r="O28" i="90"/>
  <c r="K28" i="90"/>
  <c r="V27" i="90"/>
  <c r="U27" i="90"/>
  <c r="Q27" i="90"/>
  <c r="P27" i="90"/>
  <c r="O27" i="90"/>
  <c r="N27" i="90"/>
  <c r="M27" i="90"/>
  <c r="K27" i="90"/>
  <c r="G27" i="90"/>
  <c r="AF26" i="90"/>
  <c r="AE26" i="90"/>
  <c r="V26" i="90"/>
  <c r="U26" i="90"/>
  <c r="O26" i="90"/>
  <c r="N26" i="90"/>
  <c r="Q26" i="90" s="1"/>
  <c r="M26" i="90"/>
  <c r="K26" i="90"/>
  <c r="G26" i="90"/>
  <c r="V25" i="90"/>
  <c r="U25" i="90"/>
  <c r="O25" i="90"/>
  <c r="N25" i="90"/>
  <c r="Q25" i="90" s="1"/>
  <c r="M25" i="90"/>
  <c r="K25" i="90"/>
  <c r="G25" i="90"/>
  <c r="V24" i="90"/>
  <c r="U24" i="90"/>
  <c r="O24" i="90"/>
  <c r="M24" i="90"/>
  <c r="AF24" i="90" s="1"/>
  <c r="K24" i="90"/>
  <c r="G24" i="90"/>
  <c r="AF23" i="90"/>
  <c r="AE23" i="90"/>
  <c r="V23" i="90"/>
  <c r="U23" i="90"/>
  <c r="Q23" i="90"/>
  <c r="P23" i="90"/>
  <c r="O23" i="90"/>
  <c r="N23" i="90"/>
  <c r="M23" i="90"/>
  <c r="K23" i="90"/>
  <c r="G23" i="90"/>
  <c r="V22" i="90"/>
  <c r="O22" i="90"/>
  <c r="M22" i="90"/>
  <c r="K22" i="90"/>
  <c r="G22" i="90"/>
  <c r="AD21" i="90"/>
  <c r="AD2" i="90" s="1"/>
  <c r="N6" i="89" s="1"/>
  <c r="Z21" i="90"/>
  <c r="Y21" i="90"/>
  <c r="F18" i="89" s="1"/>
  <c r="O21" i="90"/>
  <c r="K21" i="90"/>
  <c r="V20" i="90"/>
  <c r="U20" i="90"/>
  <c r="O20" i="90"/>
  <c r="N20" i="90"/>
  <c r="M20" i="90"/>
  <c r="K20" i="90"/>
  <c r="G20" i="90"/>
  <c r="AF19" i="90"/>
  <c r="AE19" i="90"/>
  <c r="V19" i="90"/>
  <c r="M19" i="90" s="1"/>
  <c r="N19" i="90" s="1"/>
  <c r="U19" i="90"/>
  <c r="O19" i="90"/>
  <c r="K19" i="90"/>
  <c r="G19" i="90"/>
  <c r="V18" i="90"/>
  <c r="U18" i="90"/>
  <c r="O18" i="90"/>
  <c r="N18" i="90"/>
  <c r="Q18" i="90" s="1"/>
  <c r="M18" i="90"/>
  <c r="K18" i="90"/>
  <c r="G18" i="90"/>
  <c r="AF17" i="90"/>
  <c r="AE17" i="90"/>
  <c r="V17" i="90"/>
  <c r="U17" i="90"/>
  <c r="O17" i="90"/>
  <c r="N17" i="90"/>
  <c r="P17" i="90" s="1"/>
  <c r="M17" i="90"/>
  <c r="K17" i="90"/>
  <c r="G17" i="90"/>
  <c r="V16" i="90"/>
  <c r="U16" i="90"/>
  <c r="O16" i="90"/>
  <c r="M16" i="90"/>
  <c r="N16" i="90" s="1"/>
  <c r="K16" i="90"/>
  <c r="G16" i="90"/>
  <c r="V15" i="90"/>
  <c r="U15" i="90"/>
  <c r="O15" i="90"/>
  <c r="M15" i="90"/>
  <c r="AF15" i="90" s="1"/>
  <c r="K15" i="90"/>
  <c r="G15" i="90"/>
  <c r="AF14" i="90"/>
  <c r="AE14" i="90"/>
  <c r="X14" i="90"/>
  <c r="W14" i="90"/>
  <c r="V14" i="90"/>
  <c r="M14" i="90" s="1"/>
  <c r="O14" i="90"/>
  <c r="K14" i="90"/>
  <c r="G14" i="90"/>
  <c r="AD13" i="90"/>
  <c r="Z13" i="90"/>
  <c r="Y13" i="90"/>
  <c r="E18" i="89" s="1"/>
  <c r="O13" i="90"/>
  <c r="M13" i="90"/>
  <c r="N13" i="90" s="1"/>
  <c r="P13" i="90" s="1"/>
  <c r="K13" i="90"/>
  <c r="AF12" i="90"/>
  <c r="AE12" i="90"/>
  <c r="V12" i="90"/>
  <c r="M12" i="90" s="1"/>
  <c r="N12" i="90" s="1"/>
  <c r="U12" i="90"/>
  <c r="O12" i="90"/>
  <c r="K12" i="90"/>
  <c r="G12" i="90"/>
  <c r="X11" i="90"/>
  <c r="W11" i="90"/>
  <c r="V11" i="90"/>
  <c r="U11" i="90"/>
  <c r="O11" i="90"/>
  <c r="N11" i="90"/>
  <c r="Q11" i="90" s="1"/>
  <c r="M11" i="90"/>
  <c r="K11" i="90"/>
  <c r="G11" i="90"/>
  <c r="V10" i="90"/>
  <c r="U10" i="90"/>
  <c r="O10" i="90"/>
  <c r="M10" i="90"/>
  <c r="AF10" i="90" s="1"/>
  <c r="K10" i="90"/>
  <c r="G10" i="90"/>
  <c r="AF9" i="90"/>
  <c r="AE9" i="90"/>
  <c r="X9" i="90"/>
  <c r="W9" i="90"/>
  <c r="V9" i="90"/>
  <c r="M9" i="90" s="1"/>
  <c r="N9" i="90" s="1"/>
  <c r="Q9" i="90"/>
  <c r="P9" i="90"/>
  <c r="O9" i="90"/>
  <c r="K9" i="90"/>
  <c r="G9" i="90"/>
  <c r="AD8" i="90"/>
  <c r="Z8" i="90"/>
  <c r="Y8" i="90"/>
  <c r="D18" i="89" s="1"/>
  <c r="O8" i="90"/>
  <c r="M8" i="90"/>
  <c r="N8" i="90" s="1"/>
  <c r="K8" i="90"/>
  <c r="AF7" i="90"/>
  <c r="AE7" i="90"/>
  <c r="V7" i="90"/>
  <c r="M7" i="90" s="1"/>
  <c r="N7" i="90" s="1"/>
  <c r="U7" i="90"/>
  <c r="O7" i="90"/>
  <c r="K7" i="90"/>
  <c r="G7" i="90"/>
  <c r="V6" i="90"/>
  <c r="U6" i="90"/>
  <c r="Q6" i="90"/>
  <c r="P6" i="90"/>
  <c r="O6" i="90"/>
  <c r="N6" i="90"/>
  <c r="M6" i="90"/>
  <c r="K6" i="90"/>
  <c r="G6" i="90"/>
  <c r="AF5" i="90"/>
  <c r="V5" i="90"/>
  <c r="M5" i="90" s="1"/>
  <c r="O5" i="90"/>
  <c r="K5" i="90"/>
  <c r="G5" i="90"/>
  <c r="Z2" i="90"/>
  <c r="L6" i="89" s="1"/>
  <c r="Y2" i="90"/>
  <c r="K6" i="89" s="1"/>
  <c r="H2" i="90"/>
  <c r="H1" i="90"/>
  <c r="F1" i="90"/>
  <c r="I3" i="89" s="1"/>
  <c r="D1" i="90"/>
  <c r="M22" i="89"/>
  <c r="L22" i="89"/>
  <c r="K22" i="89"/>
  <c r="J22" i="89"/>
  <c r="I22" i="89"/>
  <c r="H22" i="89"/>
  <c r="G22" i="89"/>
  <c r="F22" i="89"/>
  <c r="E22" i="89"/>
  <c r="D22" i="89"/>
  <c r="M21" i="89"/>
  <c r="K21" i="89"/>
  <c r="J21" i="89"/>
  <c r="I21" i="89"/>
  <c r="H21" i="89"/>
  <c r="G21" i="89"/>
  <c r="F21" i="89"/>
  <c r="E21" i="89"/>
  <c r="D21" i="89"/>
  <c r="M20" i="89"/>
  <c r="L20" i="89"/>
  <c r="K20" i="89"/>
  <c r="J20" i="89"/>
  <c r="I20" i="89"/>
  <c r="H20" i="89"/>
  <c r="G20" i="89"/>
  <c r="F20" i="89"/>
  <c r="E20" i="89"/>
  <c r="D20" i="89"/>
  <c r="M19" i="89"/>
  <c r="L19" i="89"/>
  <c r="K19" i="89"/>
  <c r="J19" i="89"/>
  <c r="I19" i="89"/>
  <c r="H19" i="89"/>
  <c r="G19" i="89"/>
  <c r="F19" i="89"/>
  <c r="E19" i="89"/>
  <c r="D19" i="89"/>
  <c r="M18" i="89"/>
  <c r="L18" i="89"/>
  <c r="I18" i="89"/>
  <c r="H18" i="89"/>
  <c r="G18" i="89"/>
  <c r="M17" i="89"/>
  <c r="L17" i="89"/>
  <c r="K17" i="89"/>
  <c r="J17" i="89"/>
  <c r="I17" i="89"/>
  <c r="H17" i="89"/>
  <c r="G17" i="89"/>
  <c r="F17" i="89"/>
  <c r="E17" i="89"/>
  <c r="D17" i="89"/>
  <c r="M16" i="89"/>
  <c r="L16" i="89"/>
  <c r="K16" i="89"/>
  <c r="J16" i="89"/>
  <c r="I16" i="89"/>
  <c r="H16" i="89"/>
  <c r="G16" i="89"/>
  <c r="F16" i="89"/>
  <c r="E16" i="89"/>
  <c r="D16" i="89"/>
  <c r="J15" i="89"/>
  <c r="K13" i="89"/>
  <c r="J13" i="89"/>
  <c r="I13" i="89"/>
  <c r="H13" i="89"/>
  <c r="G13" i="89"/>
  <c r="F13" i="89"/>
  <c r="E13" i="89"/>
  <c r="E6" i="89" s="1"/>
  <c r="D13" i="89"/>
  <c r="M6" i="89"/>
  <c r="I6" i="89"/>
  <c r="F3" i="89"/>
  <c r="C3" i="89"/>
  <c r="E8" i="97" l="1"/>
  <c r="F8" i="97"/>
  <c r="G8" i="97"/>
  <c r="E7" i="95"/>
  <c r="F7" i="95"/>
  <c r="G7" i="95"/>
  <c r="G8" i="95"/>
  <c r="F8" i="95"/>
  <c r="I7" i="95"/>
  <c r="K15" i="95"/>
  <c r="I8" i="95" s="1"/>
  <c r="Q69" i="94"/>
  <c r="R64" i="94" s="1"/>
  <c r="P69" i="94"/>
  <c r="J14" i="93"/>
  <c r="J15" i="93" s="1"/>
  <c r="Q77" i="94"/>
  <c r="R70" i="94" s="1"/>
  <c r="P77" i="94"/>
  <c r="M14" i="93"/>
  <c r="M15" i="93" s="1"/>
  <c r="Q40" i="94"/>
  <c r="R33" i="94" s="1"/>
  <c r="P40" i="94"/>
  <c r="K14" i="93"/>
  <c r="Q15" i="94"/>
  <c r="R10" i="94" s="1"/>
  <c r="P15" i="94"/>
  <c r="E14" i="93"/>
  <c r="E15" i="93" s="1"/>
  <c r="Q23" i="94"/>
  <c r="R16" i="94" s="1"/>
  <c r="P23" i="94"/>
  <c r="F14" i="93"/>
  <c r="F15" i="93" s="1"/>
  <c r="I14" i="93"/>
  <c r="I15" i="93" s="1"/>
  <c r="Q63" i="94"/>
  <c r="R55" i="94" s="1"/>
  <c r="P63" i="94"/>
  <c r="Q32" i="94"/>
  <c r="R24" i="94" s="1"/>
  <c r="P32" i="94"/>
  <c r="G14" i="93"/>
  <c r="G15" i="93" s="1"/>
  <c r="Q49" i="94"/>
  <c r="R41" i="94" s="1"/>
  <c r="P49" i="94"/>
  <c r="L14" i="93"/>
  <c r="L15" i="93" s="1"/>
  <c r="Q54" i="94"/>
  <c r="R50" i="94" s="1"/>
  <c r="P54" i="94"/>
  <c r="H14" i="93"/>
  <c r="H15" i="93" s="1"/>
  <c r="D15" i="93"/>
  <c r="Q58" i="92"/>
  <c r="P58" i="92"/>
  <c r="N15" i="92"/>
  <c r="AE15" i="92"/>
  <c r="AF15" i="92"/>
  <c r="AG10" i="92" s="1"/>
  <c r="N31" i="92"/>
  <c r="Q31" i="92" s="1"/>
  <c r="R25" i="92" s="1"/>
  <c r="AE31" i="92"/>
  <c r="AF31" i="92"/>
  <c r="AG25" i="92" s="1"/>
  <c r="K15" i="91"/>
  <c r="I8" i="91" s="1"/>
  <c r="I7" i="91"/>
  <c r="Q52" i="92"/>
  <c r="P52" i="92"/>
  <c r="Q26" i="92"/>
  <c r="P26" i="92"/>
  <c r="Q23" i="92"/>
  <c r="P23" i="92"/>
  <c r="Q37" i="92"/>
  <c r="P37" i="92"/>
  <c r="P68" i="92"/>
  <c r="Q68" i="92"/>
  <c r="Q63" i="92"/>
  <c r="P63" i="92"/>
  <c r="P19" i="92"/>
  <c r="Q19" i="92"/>
  <c r="Q32" i="92"/>
  <c r="P32" i="92"/>
  <c r="Q67" i="92"/>
  <c r="R62" i="92" s="1"/>
  <c r="P67" i="92"/>
  <c r="J14" i="91"/>
  <c r="J15" i="91" s="1"/>
  <c r="Q45" i="92"/>
  <c r="P45" i="92"/>
  <c r="Q44" i="92"/>
  <c r="P44" i="92"/>
  <c r="Q9" i="92"/>
  <c r="R5" i="92" s="1"/>
  <c r="P9" i="92"/>
  <c r="N24" i="92"/>
  <c r="AF24" i="92"/>
  <c r="AG16" i="92" s="1"/>
  <c r="AE24" i="92"/>
  <c r="Q34" i="92"/>
  <c r="P34" i="92"/>
  <c r="P13" i="92"/>
  <c r="Q13" i="92"/>
  <c r="Q62" i="92"/>
  <c r="P62" i="92"/>
  <c r="Q46" i="92"/>
  <c r="P46" i="92"/>
  <c r="Q69" i="92"/>
  <c r="P69" i="92"/>
  <c r="Q27" i="92"/>
  <c r="P27" i="92"/>
  <c r="P8" i="92"/>
  <c r="Q8" i="92"/>
  <c r="Q76" i="92"/>
  <c r="R68" i="92" s="1"/>
  <c r="P76" i="92"/>
  <c r="H14" i="91"/>
  <c r="H15" i="91" s="1"/>
  <c r="Q53" i="92"/>
  <c r="R49" i="92" s="1"/>
  <c r="P53" i="92"/>
  <c r="AF39" i="92"/>
  <c r="AG32" i="92" s="1"/>
  <c r="AE39" i="92"/>
  <c r="G14" i="91"/>
  <c r="G15" i="91" s="1"/>
  <c r="Q15" i="92"/>
  <c r="R10" i="92" s="1"/>
  <c r="P15" i="92"/>
  <c r="E14" i="91"/>
  <c r="E15" i="91" s="1"/>
  <c r="Q10" i="92"/>
  <c r="P10" i="92"/>
  <c r="Q16" i="90"/>
  <c r="P16" i="90"/>
  <c r="P8" i="90"/>
  <c r="P51" i="90"/>
  <c r="Q51" i="90"/>
  <c r="F6" i="89"/>
  <c r="P11" i="90"/>
  <c r="P60" i="90"/>
  <c r="N65" i="90"/>
  <c r="P18" i="90"/>
  <c r="Q60" i="90"/>
  <c r="R55" i="90" s="1"/>
  <c r="F2" i="90"/>
  <c r="P25" i="90"/>
  <c r="P30" i="90"/>
  <c r="Q49" i="90"/>
  <c r="G6" i="89"/>
  <c r="P37" i="90"/>
  <c r="P58" i="90"/>
  <c r="AE65" i="90"/>
  <c r="P53" i="90"/>
  <c r="AE5" i="90"/>
  <c r="N5" i="90"/>
  <c r="AF6" i="90"/>
  <c r="AE6" i="90"/>
  <c r="Q7" i="90"/>
  <c r="P7" i="90"/>
  <c r="AF8" i="90"/>
  <c r="AG5" i="90" s="1"/>
  <c r="AE8" i="90"/>
  <c r="D14" i="89"/>
  <c r="D15" i="89" s="1"/>
  <c r="Q8" i="90"/>
  <c r="R5" i="90" s="1"/>
  <c r="AF11" i="90"/>
  <c r="AE11" i="90"/>
  <c r="Q12" i="90"/>
  <c r="P12" i="90"/>
  <c r="AF13" i="90"/>
  <c r="AG9" i="90" s="1"/>
  <c r="AE13" i="90"/>
  <c r="E14" i="89"/>
  <c r="E15" i="89" s="1"/>
  <c r="Q13" i="90"/>
  <c r="R9" i="90" s="1"/>
  <c r="N14" i="90"/>
  <c r="M21" i="90"/>
  <c r="AF16" i="90"/>
  <c r="AE16" i="90"/>
  <c r="AF18" i="90"/>
  <c r="AE18" i="90"/>
  <c r="Q19" i="90"/>
  <c r="P19" i="90"/>
  <c r="AF20" i="90"/>
  <c r="AE20" i="90"/>
  <c r="Q20" i="90"/>
  <c r="P20" i="90"/>
  <c r="AE22" i="90"/>
  <c r="M28" i="90"/>
  <c r="AF22" i="90"/>
  <c r="N22" i="90"/>
  <c r="AF25" i="90"/>
  <c r="AE25" i="90"/>
  <c r="AF27" i="90"/>
  <c r="AE27" i="90"/>
  <c r="AF29" i="90"/>
  <c r="AE29" i="90"/>
  <c r="Q29" i="90"/>
  <c r="P29" i="90"/>
  <c r="AF32" i="90"/>
  <c r="AE32" i="90"/>
  <c r="Q33" i="90"/>
  <c r="P33" i="90"/>
  <c r="AF34" i="90"/>
  <c r="AG29" i="90" s="1"/>
  <c r="AE34" i="90"/>
  <c r="K14" i="89"/>
  <c r="P34" i="90"/>
  <c r="Q34" i="90"/>
  <c r="R29" i="90" s="1"/>
  <c r="AF37" i="90"/>
  <c r="AE37" i="90"/>
  <c r="AF39" i="90"/>
  <c r="AE39" i="90"/>
  <c r="AF41" i="90"/>
  <c r="AG35" i="90" s="1"/>
  <c r="AE41" i="90"/>
  <c r="N41" i="90"/>
  <c r="AE42" i="90"/>
  <c r="AF42" i="90"/>
  <c r="AF44" i="90"/>
  <c r="AE44" i="90"/>
  <c r="Q45" i="90"/>
  <c r="P45" i="90"/>
  <c r="AF46" i="90"/>
  <c r="AG42" i="90" s="1"/>
  <c r="AE46" i="90"/>
  <c r="P46" i="90"/>
  <c r="H14" i="89"/>
  <c r="H15" i="89" s="1"/>
  <c r="Q46" i="90"/>
  <c r="R42" i="90" s="1"/>
  <c r="M54" i="90"/>
  <c r="N47" i="90"/>
  <c r="AF51" i="90"/>
  <c r="AE51" i="90"/>
  <c r="AF53" i="90"/>
  <c r="AE53" i="90"/>
  <c r="AF55" i="90"/>
  <c r="AE55" i="90"/>
  <c r="Q55" i="90"/>
  <c r="P55" i="90"/>
  <c r="AF60" i="90"/>
  <c r="AG55" i="90" s="1"/>
  <c r="AE60" i="90"/>
  <c r="AF62" i="90"/>
  <c r="N62" i="90"/>
  <c r="AE62" i="90"/>
  <c r="M66" i="90"/>
  <c r="N10" i="90"/>
  <c r="N15" i="90"/>
  <c r="N24" i="90"/>
  <c r="N31" i="90"/>
  <c r="N36" i="90"/>
  <c r="N50" i="90"/>
  <c r="N59" i="90"/>
  <c r="N48" i="90"/>
  <c r="N57" i="90"/>
  <c r="N64" i="90"/>
  <c r="P26" i="90"/>
  <c r="P52" i="90"/>
  <c r="Q17" i="90"/>
  <c r="Q38" i="90"/>
  <c r="Q43" i="90"/>
  <c r="AF48" i="90"/>
  <c r="AF57" i="90"/>
  <c r="Q61" i="90"/>
  <c r="AF64" i="90"/>
  <c r="AE10" i="90"/>
  <c r="AE15" i="90"/>
  <c r="AE24" i="90"/>
  <c r="AE31" i="90"/>
  <c r="AE36" i="90"/>
  <c r="AE50" i="90"/>
  <c r="AE59" i="90"/>
  <c r="AD66" i="88"/>
  <c r="Z66" i="88"/>
  <c r="Y66" i="88"/>
  <c r="O66" i="88"/>
  <c r="K66" i="88"/>
  <c r="AF65" i="88"/>
  <c r="V65" i="88"/>
  <c r="U65" i="88"/>
  <c r="O65" i="88"/>
  <c r="M65" i="88"/>
  <c r="AE65" i="88" s="1"/>
  <c r="K65" i="88"/>
  <c r="G65" i="88"/>
  <c r="AF64" i="88"/>
  <c r="AE64" i="88"/>
  <c r="V64" i="88"/>
  <c r="U64" i="88"/>
  <c r="O64" i="88"/>
  <c r="M64" i="88"/>
  <c r="N64" i="88" s="1"/>
  <c r="K64" i="88"/>
  <c r="G64" i="88"/>
  <c r="V63" i="88"/>
  <c r="M63" i="88" s="1"/>
  <c r="U63" i="88"/>
  <c r="O63" i="88"/>
  <c r="K63" i="88"/>
  <c r="G63" i="88"/>
  <c r="V62" i="88"/>
  <c r="M62" i="88" s="1"/>
  <c r="U62" i="88"/>
  <c r="O62" i="88"/>
  <c r="K62" i="88"/>
  <c r="G62" i="88"/>
  <c r="AE61" i="88"/>
  <c r="X61" i="88"/>
  <c r="W61" i="88"/>
  <c r="V61" i="88"/>
  <c r="O61" i="88"/>
  <c r="M61" i="88"/>
  <c r="N61" i="88" s="1"/>
  <c r="K61" i="88"/>
  <c r="G61" i="88"/>
  <c r="AD60" i="88"/>
  <c r="Z60" i="88"/>
  <c r="Y60" i="88"/>
  <c r="O60" i="88"/>
  <c r="K60" i="88"/>
  <c r="V59" i="88"/>
  <c r="M59" i="88" s="1"/>
  <c r="U59" i="88"/>
  <c r="O59" i="88"/>
  <c r="K59" i="88"/>
  <c r="G59" i="88"/>
  <c r="V58" i="88"/>
  <c r="M58" i="88" s="1"/>
  <c r="U58" i="88"/>
  <c r="O58" i="88"/>
  <c r="K58" i="88"/>
  <c r="G58" i="88"/>
  <c r="V57" i="88"/>
  <c r="M57" i="88" s="1"/>
  <c r="U57" i="88"/>
  <c r="O57" i="88"/>
  <c r="K57" i="88"/>
  <c r="G57" i="88"/>
  <c r="V56" i="88"/>
  <c r="M56" i="88" s="1"/>
  <c r="U56" i="88"/>
  <c r="O56" i="88"/>
  <c r="K56" i="88"/>
  <c r="G56" i="88"/>
  <c r="V55" i="88"/>
  <c r="M55" i="88" s="1"/>
  <c r="O55" i="88"/>
  <c r="K55" i="88"/>
  <c r="G55" i="88"/>
  <c r="AD54" i="88"/>
  <c r="Z54" i="88"/>
  <c r="Y54" i="88"/>
  <c r="O54" i="88"/>
  <c r="K54" i="88"/>
  <c r="V53" i="88"/>
  <c r="U53" i="88"/>
  <c r="O53" i="88"/>
  <c r="M53" i="88"/>
  <c r="AF53" i="88" s="1"/>
  <c r="K53" i="88"/>
  <c r="G53" i="88"/>
  <c r="V52" i="88"/>
  <c r="U52" i="88"/>
  <c r="O52" i="88"/>
  <c r="M52" i="88"/>
  <c r="AF52" i="88" s="1"/>
  <c r="K52" i="88"/>
  <c r="G52" i="88"/>
  <c r="V51" i="88"/>
  <c r="U51" i="88"/>
  <c r="O51" i="88"/>
  <c r="M51" i="88"/>
  <c r="AF51" i="88" s="1"/>
  <c r="K51" i="88"/>
  <c r="G51" i="88"/>
  <c r="V50" i="88"/>
  <c r="U50" i="88"/>
  <c r="O50" i="88"/>
  <c r="M50" i="88"/>
  <c r="AF50" i="88" s="1"/>
  <c r="K50" i="88"/>
  <c r="G50" i="88"/>
  <c r="AF49" i="88"/>
  <c r="V49" i="88"/>
  <c r="U49" i="88"/>
  <c r="O49" i="88"/>
  <c r="N49" i="88"/>
  <c r="Q49" i="88" s="1"/>
  <c r="M49" i="88"/>
  <c r="AE49" i="88" s="1"/>
  <c r="K49" i="88"/>
  <c r="G49" i="88"/>
  <c r="AE48" i="88"/>
  <c r="V48" i="88"/>
  <c r="U48" i="88"/>
  <c r="O48" i="88"/>
  <c r="N48" i="88"/>
  <c r="Q48" i="88" s="1"/>
  <c r="M48" i="88"/>
  <c r="AF48" i="88" s="1"/>
  <c r="K48" i="88"/>
  <c r="G48" i="88"/>
  <c r="AE47" i="88"/>
  <c r="V47" i="88"/>
  <c r="O47" i="88"/>
  <c r="N47" i="88"/>
  <c r="Q47" i="88" s="1"/>
  <c r="M47" i="88"/>
  <c r="M54" i="88" s="1"/>
  <c r="K47" i="88"/>
  <c r="G47" i="88"/>
  <c r="AD46" i="88"/>
  <c r="Z46" i="88"/>
  <c r="Y46" i="88"/>
  <c r="O46" i="88"/>
  <c r="K46" i="88"/>
  <c r="V45" i="88"/>
  <c r="M45" i="88" s="1"/>
  <c r="U45" i="88"/>
  <c r="O45" i="88"/>
  <c r="K45" i="88"/>
  <c r="G45" i="88"/>
  <c r="V44" i="88"/>
  <c r="M44" i="88" s="1"/>
  <c r="U44" i="88"/>
  <c r="O44" i="88"/>
  <c r="K44" i="88"/>
  <c r="G44" i="88"/>
  <c r="AF43" i="88"/>
  <c r="V43" i="88"/>
  <c r="U43" i="88"/>
  <c r="Q43" i="88"/>
  <c r="P43" i="88"/>
  <c r="O43" i="88"/>
  <c r="N43" i="88"/>
  <c r="M43" i="88"/>
  <c r="AE43" i="88" s="1"/>
  <c r="K43" i="88"/>
  <c r="G43" i="88"/>
  <c r="X42" i="88"/>
  <c r="W42" i="88"/>
  <c r="V42" i="88"/>
  <c r="M42" i="88" s="1"/>
  <c r="O42" i="88"/>
  <c r="K42" i="88"/>
  <c r="G42" i="88"/>
  <c r="AD41" i="88"/>
  <c r="Z41" i="88"/>
  <c r="Y41" i="88"/>
  <c r="O41" i="88"/>
  <c r="K41" i="88"/>
  <c r="AF40" i="88"/>
  <c r="V40" i="88"/>
  <c r="U40" i="88"/>
  <c r="Q40" i="88"/>
  <c r="P40" i="88"/>
  <c r="O40" i="88"/>
  <c r="N40" i="88"/>
  <c r="M40" i="88"/>
  <c r="AE40" i="88" s="1"/>
  <c r="K40" i="88"/>
  <c r="G40" i="88"/>
  <c r="X39" i="88"/>
  <c r="W39" i="88"/>
  <c r="V39" i="88"/>
  <c r="M39" i="88" s="1"/>
  <c r="U39" i="88"/>
  <c r="O39" i="88"/>
  <c r="K39" i="88"/>
  <c r="G39" i="88"/>
  <c r="AF38" i="88"/>
  <c r="V38" i="88"/>
  <c r="U38" i="88"/>
  <c r="Q38" i="88"/>
  <c r="P38" i="88"/>
  <c r="O38" i="88"/>
  <c r="N38" i="88"/>
  <c r="M38" i="88"/>
  <c r="AE38" i="88" s="1"/>
  <c r="K38" i="88"/>
  <c r="G38" i="88"/>
  <c r="AF37" i="88"/>
  <c r="AE37" i="88"/>
  <c r="V37" i="88"/>
  <c r="U37" i="88"/>
  <c r="O37" i="88"/>
  <c r="M37" i="88"/>
  <c r="N37" i="88" s="1"/>
  <c r="K37" i="88"/>
  <c r="G37" i="88"/>
  <c r="V36" i="88"/>
  <c r="M36" i="88" s="1"/>
  <c r="U36" i="88"/>
  <c r="O36" i="88"/>
  <c r="K36" i="88"/>
  <c r="G36" i="88"/>
  <c r="AF35" i="88"/>
  <c r="AE35" i="88"/>
  <c r="X35" i="88"/>
  <c r="W35" i="88"/>
  <c r="V35" i="88"/>
  <c r="Q35" i="88"/>
  <c r="P35" i="88"/>
  <c r="O35" i="88"/>
  <c r="N35" i="88"/>
  <c r="M35" i="88"/>
  <c r="K35" i="88"/>
  <c r="G35" i="88"/>
  <c r="AD34" i="88"/>
  <c r="Z34" i="88"/>
  <c r="Y34" i="88"/>
  <c r="O34" i="88"/>
  <c r="K34" i="88"/>
  <c r="V33" i="88"/>
  <c r="M33" i="88" s="1"/>
  <c r="U33" i="88"/>
  <c r="O33" i="88"/>
  <c r="K33" i="88"/>
  <c r="G33" i="88"/>
  <c r="AE32" i="88"/>
  <c r="X32" i="88"/>
  <c r="W32" i="88"/>
  <c r="V32" i="88"/>
  <c r="U32" i="88"/>
  <c r="O32" i="88"/>
  <c r="M32" i="88"/>
  <c r="N32" i="88" s="1"/>
  <c r="K32" i="88"/>
  <c r="G32" i="88"/>
  <c r="V31" i="88"/>
  <c r="M31" i="88" s="1"/>
  <c r="U31" i="88"/>
  <c r="O31" i="88"/>
  <c r="K31" i="88"/>
  <c r="G31" i="88"/>
  <c r="V30" i="88"/>
  <c r="U30" i="88"/>
  <c r="O30" i="88"/>
  <c r="M30" i="88"/>
  <c r="AF30" i="88" s="1"/>
  <c r="K30" i="88"/>
  <c r="G30" i="88"/>
  <c r="AE29" i="88"/>
  <c r="X29" i="88"/>
  <c r="W29" i="88"/>
  <c r="V29" i="88"/>
  <c r="O29" i="88"/>
  <c r="M29" i="88"/>
  <c r="N29" i="88" s="1"/>
  <c r="K29" i="88"/>
  <c r="G29" i="88"/>
  <c r="AD28" i="88"/>
  <c r="Z28" i="88"/>
  <c r="Y28" i="88"/>
  <c r="O28" i="88"/>
  <c r="K28" i="88"/>
  <c r="V27" i="88"/>
  <c r="M27" i="88" s="1"/>
  <c r="U27" i="88"/>
  <c r="O27" i="88"/>
  <c r="K27" i="88"/>
  <c r="G27" i="88"/>
  <c r="V26" i="88"/>
  <c r="M26" i="88" s="1"/>
  <c r="U26" i="88"/>
  <c r="O26" i="88"/>
  <c r="K26" i="88"/>
  <c r="G26" i="88"/>
  <c r="V25" i="88"/>
  <c r="M25" i="88" s="1"/>
  <c r="U25" i="88"/>
  <c r="O25" i="88"/>
  <c r="K25" i="88"/>
  <c r="G25" i="88"/>
  <c r="V24" i="88"/>
  <c r="M24" i="88" s="1"/>
  <c r="U24" i="88"/>
  <c r="O24" i="88"/>
  <c r="K24" i="88"/>
  <c r="G24" i="88"/>
  <c r="V23" i="88"/>
  <c r="M23" i="88" s="1"/>
  <c r="U23" i="88"/>
  <c r="O23" i="88"/>
  <c r="K23" i="88"/>
  <c r="G23" i="88"/>
  <c r="V22" i="88"/>
  <c r="M22" i="88" s="1"/>
  <c r="O22" i="88"/>
  <c r="K22" i="88"/>
  <c r="G22" i="88"/>
  <c r="AD21" i="88"/>
  <c r="Z21" i="88"/>
  <c r="Y21" i="88"/>
  <c r="O21" i="88"/>
  <c r="K21" i="88"/>
  <c r="V20" i="88"/>
  <c r="U20" i="88"/>
  <c r="O20" i="88"/>
  <c r="M20" i="88"/>
  <c r="N20" i="88" s="1"/>
  <c r="K20" i="88"/>
  <c r="G20" i="88"/>
  <c r="V19" i="88"/>
  <c r="U19" i="88"/>
  <c r="O19" i="88"/>
  <c r="M19" i="88"/>
  <c r="N19" i="88" s="1"/>
  <c r="K19" i="88"/>
  <c r="G19" i="88"/>
  <c r="V18" i="88"/>
  <c r="U18" i="88"/>
  <c r="Q18" i="88"/>
  <c r="O18" i="88"/>
  <c r="N18" i="88"/>
  <c r="P18" i="88" s="1"/>
  <c r="M18" i="88"/>
  <c r="AF18" i="88" s="1"/>
  <c r="K18" i="88"/>
  <c r="G18" i="88"/>
  <c r="AF17" i="88"/>
  <c r="V17" i="88"/>
  <c r="U17" i="88"/>
  <c r="O17" i="88"/>
  <c r="M17" i="88"/>
  <c r="N17" i="88" s="1"/>
  <c r="K17" i="88"/>
  <c r="G17" i="88"/>
  <c r="AF16" i="88"/>
  <c r="AE16" i="88"/>
  <c r="V16" i="88"/>
  <c r="U16" i="88"/>
  <c r="O16" i="88"/>
  <c r="M16" i="88"/>
  <c r="N16" i="88" s="1"/>
  <c r="K16" i="88"/>
  <c r="G16" i="88"/>
  <c r="V15" i="88"/>
  <c r="M15" i="88" s="1"/>
  <c r="U15" i="88"/>
  <c r="O15" i="88"/>
  <c r="K15" i="88"/>
  <c r="G15" i="88"/>
  <c r="AF14" i="88"/>
  <c r="AE14" i="88"/>
  <c r="X14" i="88"/>
  <c r="W14" i="88"/>
  <c r="V14" i="88"/>
  <c r="O14" i="88"/>
  <c r="M14" i="88"/>
  <c r="N14" i="88" s="1"/>
  <c r="K14" i="88"/>
  <c r="G14" i="88"/>
  <c r="AD13" i="88"/>
  <c r="Z13" i="88"/>
  <c r="Y13" i="88"/>
  <c r="O13" i="88"/>
  <c r="K13" i="88"/>
  <c r="V12" i="88"/>
  <c r="M12" i="88" s="1"/>
  <c r="U12" i="88"/>
  <c r="O12" i="88"/>
  <c r="K12" i="88"/>
  <c r="G12" i="88"/>
  <c r="X11" i="88"/>
  <c r="W11" i="88"/>
  <c r="V11" i="88"/>
  <c r="M11" i="88" s="1"/>
  <c r="U11" i="88"/>
  <c r="O11" i="88"/>
  <c r="K11" i="88"/>
  <c r="G11" i="88"/>
  <c r="V10" i="88"/>
  <c r="M10" i="88" s="1"/>
  <c r="U10" i="88"/>
  <c r="O10" i="88"/>
  <c r="K10" i="88"/>
  <c r="G10" i="88"/>
  <c r="AF9" i="88"/>
  <c r="AE9" i="88"/>
  <c r="X9" i="88"/>
  <c r="W9" i="88"/>
  <c r="V9" i="88"/>
  <c r="O9" i="88"/>
  <c r="M9" i="88"/>
  <c r="N9" i="88" s="1"/>
  <c r="K9" i="88"/>
  <c r="G9" i="88"/>
  <c r="AD8" i="88"/>
  <c r="Z8" i="88"/>
  <c r="Y8" i="88"/>
  <c r="O8" i="88"/>
  <c r="K8" i="88"/>
  <c r="V7" i="88"/>
  <c r="M7" i="88" s="1"/>
  <c r="U7" i="88"/>
  <c r="O7" i="88"/>
  <c r="K7" i="88"/>
  <c r="G7" i="88"/>
  <c r="V6" i="88"/>
  <c r="U6" i="88"/>
  <c r="O6" i="88"/>
  <c r="M6" i="88"/>
  <c r="AF6" i="88" s="1"/>
  <c r="K6" i="88"/>
  <c r="G6" i="88"/>
  <c r="V5" i="88"/>
  <c r="O5" i="88"/>
  <c r="M5" i="88"/>
  <c r="M8" i="88" s="1"/>
  <c r="K5" i="88"/>
  <c r="G5" i="88"/>
  <c r="AD2" i="88"/>
  <c r="AC2" i="88"/>
  <c r="Z2" i="88"/>
  <c r="Y2" i="88"/>
  <c r="H2" i="88"/>
  <c r="H1" i="88"/>
  <c r="F1" i="88"/>
  <c r="F2" i="88" s="1"/>
  <c r="D1" i="88"/>
  <c r="M22" i="87"/>
  <c r="L22" i="87"/>
  <c r="K22" i="87"/>
  <c r="J22" i="87"/>
  <c r="I22" i="87"/>
  <c r="H22" i="87"/>
  <c r="G22" i="87"/>
  <c r="F22" i="87"/>
  <c r="E22" i="87"/>
  <c r="D22" i="87"/>
  <c r="M21" i="87"/>
  <c r="L21" i="87"/>
  <c r="K21" i="87"/>
  <c r="J21" i="87"/>
  <c r="I21" i="87"/>
  <c r="H21" i="87"/>
  <c r="G21" i="87"/>
  <c r="F21" i="87"/>
  <c r="E21" i="87"/>
  <c r="D21" i="87"/>
  <c r="M20" i="87"/>
  <c r="L20" i="87"/>
  <c r="K20" i="87"/>
  <c r="J20" i="87"/>
  <c r="I20" i="87"/>
  <c r="H20" i="87"/>
  <c r="G20" i="87"/>
  <c r="F20" i="87"/>
  <c r="E20" i="87"/>
  <c r="D20" i="87"/>
  <c r="M19" i="87"/>
  <c r="L19" i="87"/>
  <c r="K19" i="87"/>
  <c r="J19" i="87"/>
  <c r="I19" i="87"/>
  <c r="H19" i="87"/>
  <c r="G19" i="87"/>
  <c r="F19" i="87"/>
  <c r="E19" i="87"/>
  <c r="D19" i="87"/>
  <c r="M18" i="87"/>
  <c r="L18" i="87"/>
  <c r="K18" i="87"/>
  <c r="J18" i="87"/>
  <c r="I18" i="87"/>
  <c r="H18" i="87"/>
  <c r="G18" i="87"/>
  <c r="F18" i="87"/>
  <c r="E18" i="87"/>
  <c r="D18" i="87"/>
  <c r="M17" i="87"/>
  <c r="L17" i="87"/>
  <c r="K17" i="87"/>
  <c r="J17" i="87"/>
  <c r="I17" i="87"/>
  <c r="H17" i="87"/>
  <c r="G17" i="87"/>
  <c r="F17" i="87"/>
  <c r="E17" i="87"/>
  <c r="D17" i="87"/>
  <c r="M16" i="87"/>
  <c r="L16" i="87"/>
  <c r="K16" i="87"/>
  <c r="J16" i="87"/>
  <c r="I16" i="87"/>
  <c r="H16" i="87"/>
  <c r="G16" i="87"/>
  <c r="F16" i="87"/>
  <c r="E16" i="87"/>
  <c r="D16" i="87"/>
  <c r="M13" i="87"/>
  <c r="L13" i="87"/>
  <c r="K13" i="87"/>
  <c r="I6" i="87" s="1"/>
  <c r="J13" i="87"/>
  <c r="I13" i="87"/>
  <c r="H13" i="87"/>
  <c r="G6" i="87" s="1"/>
  <c r="G13" i="87"/>
  <c r="F13" i="87"/>
  <c r="E13" i="87"/>
  <c r="D13" i="87"/>
  <c r="N6" i="87"/>
  <c r="M6" i="87"/>
  <c r="L6" i="87"/>
  <c r="K6" i="87"/>
  <c r="I3" i="87"/>
  <c r="F3" i="87"/>
  <c r="C3" i="87"/>
  <c r="E8" i="95" l="1"/>
  <c r="G8" i="93"/>
  <c r="F8" i="93"/>
  <c r="K15" i="93"/>
  <c r="I8" i="93" s="1"/>
  <c r="I7" i="93"/>
  <c r="E7" i="93"/>
  <c r="F7" i="93"/>
  <c r="G7" i="93"/>
  <c r="F14" i="91"/>
  <c r="F7" i="91" s="1"/>
  <c r="P24" i="92"/>
  <c r="Q24" i="92"/>
  <c r="R16" i="92" s="1"/>
  <c r="P31" i="92"/>
  <c r="D2" i="92"/>
  <c r="N28" i="90"/>
  <c r="Q28" i="90" s="1"/>
  <c r="R22" i="90" s="1"/>
  <c r="AF28" i="90"/>
  <c r="AG22" i="90" s="1"/>
  <c r="AE28" i="90"/>
  <c r="Q47" i="90"/>
  <c r="P47" i="90"/>
  <c r="N54" i="90"/>
  <c r="Q54" i="90" s="1"/>
  <c r="R47" i="90" s="1"/>
  <c r="AE54" i="90"/>
  <c r="AF54" i="90"/>
  <c r="AG47" i="90" s="1"/>
  <c r="N21" i="90"/>
  <c r="Q21" i="90" s="1"/>
  <c r="R14" i="90" s="1"/>
  <c r="AF21" i="90"/>
  <c r="AG14" i="90" s="1"/>
  <c r="AE21" i="90"/>
  <c r="Q14" i="90"/>
  <c r="P14" i="90"/>
  <c r="K15" i="89"/>
  <c r="Q65" i="90"/>
  <c r="P65" i="90"/>
  <c r="Q64" i="90"/>
  <c r="P64" i="90"/>
  <c r="Q57" i="90"/>
  <c r="P57" i="90"/>
  <c r="Q48" i="90"/>
  <c r="P48" i="90"/>
  <c r="Q59" i="90"/>
  <c r="P59" i="90"/>
  <c r="Q50" i="90"/>
  <c r="P50" i="90"/>
  <c r="Q36" i="90"/>
  <c r="P36" i="90"/>
  <c r="Q31" i="90"/>
  <c r="P31" i="90"/>
  <c r="Q24" i="90"/>
  <c r="P24" i="90"/>
  <c r="Q15" i="90"/>
  <c r="P15" i="90"/>
  <c r="Q10" i="90"/>
  <c r="P10" i="90"/>
  <c r="AF66" i="90"/>
  <c r="AG61" i="90" s="1"/>
  <c r="AE66" i="90"/>
  <c r="N66" i="90"/>
  <c r="M14" i="89" s="1"/>
  <c r="M15" i="89" s="1"/>
  <c r="P62" i="90"/>
  <c r="Q62" i="90"/>
  <c r="I14" i="89"/>
  <c r="I15" i="89" s="1"/>
  <c r="L14" i="89"/>
  <c r="L15" i="89" s="1"/>
  <c r="P41" i="90"/>
  <c r="Q41" i="90"/>
  <c r="R35" i="90" s="1"/>
  <c r="Q22" i="90"/>
  <c r="P22" i="90"/>
  <c r="P21" i="90"/>
  <c r="F14" i="89"/>
  <c r="F15" i="89" s="1"/>
  <c r="Q5" i="90"/>
  <c r="P5" i="90"/>
  <c r="Q9" i="88"/>
  <c r="P9" i="88"/>
  <c r="AF24" i="88"/>
  <c r="AE24" i="88"/>
  <c r="N24" i="88"/>
  <c r="Q20" i="88"/>
  <c r="P20" i="88"/>
  <c r="AE22" i="88"/>
  <c r="M28" i="88"/>
  <c r="N22" i="88"/>
  <c r="AF22" i="88"/>
  <c r="N39" i="88"/>
  <c r="AF39" i="88"/>
  <c r="AE39" i="88"/>
  <c r="Q61" i="88"/>
  <c r="P61" i="88"/>
  <c r="N54" i="88"/>
  <c r="AF54" i="88"/>
  <c r="AG47" i="88" s="1"/>
  <c r="AE54" i="88"/>
  <c r="N8" i="88"/>
  <c r="AF8" i="88"/>
  <c r="AG5" i="88" s="1"/>
  <c r="AE8" i="88"/>
  <c r="AF27" i="88"/>
  <c r="AE27" i="88"/>
  <c r="N27" i="88"/>
  <c r="AF31" i="88"/>
  <c r="AE31" i="88"/>
  <c r="N31" i="88"/>
  <c r="M41" i="88"/>
  <c r="AF36" i="88"/>
  <c r="AE36" i="88"/>
  <c r="N36" i="88"/>
  <c r="N56" i="88"/>
  <c r="AF56" i="88"/>
  <c r="AE56" i="88"/>
  <c r="AF33" i="88"/>
  <c r="AE33" i="88"/>
  <c r="N33" i="88"/>
  <c r="AF7" i="88"/>
  <c r="AE7" i="88"/>
  <c r="N7" i="88"/>
  <c r="N11" i="88"/>
  <c r="AF11" i="88"/>
  <c r="AE11" i="88"/>
  <c r="N44" i="88"/>
  <c r="AF44" i="88"/>
  <c r="AE44" i="88"/>
  <c r="N63" i="88"/>
  <c r="AF63" i="88"/>
  <c r="AE63" i="88"/>
  <c r="Q37" i="88"/>
  <c r="P37" i="88"/>
  <c r="Q14" i="88"/>
  <c r="P14" i="88"/>
  <c r="AE23" i="88"/>
  <c r="N23" i="88"/>
  <c r="AF23" i="88"/>
  <c r="Q17" i="88"/>
  <c r="P17" i="88"/>
  <c r="Q19" i="88"/>
  <c r="P19" i="88"/>
  <c r="N57" i="88"/>
  <c r="AF57" i="88"/>
  <c r="AE57" i="88"/>
  <c r="Q64" i="88"/>
  <c r="P64" i="88"/>
  <c r="Q16" i="88"/>
  <c r="P16" i="88"/>
  <c r="N45" i="88"/>
  <c r="AF45" i="88"/>
  <c r="AE45" i="88"/>
  <c r="AF25" i="88"/>
  <c r="AE25" i="88"/>
  <c r="N25" i="88"/>
  <c r="Q32" i="88"/>
  <c r="P32" i="88"/>
  <c r="AF26" i="88"/>
  <c r="AE26" i="88"/>
  <c r="N26" i="88"/>
  <c r="N55" i="88"/>
  <c r="AF55" i="88"/>
  <c r="M60" i="88"/>
  <c r="AE55" i="88"/>
  <c r="AF15" i="88"/>
  <c r="AE15" i="88"/>
  <c r="N15" i="88"/>
  <c r="N59" i="88"/>
  <c r="AF59" i="88"/>
  <c r="AE59" i="88"/>
  <c r="AF10" i="88"/>
  <c r="AE10" i="88"/>
  <c r="N10" i="88"/>
  <c r="AF12" i="88"/>
  <c r="AE12" i="88"/>
  <c r="N12" i="88"/>
  <c r="Q29" i="88"/>
  <c r="P29" i="88"/>
  <c r="N42" i="88"/>
  <c r="M46" i="88"/>
  <c r="AF42" i="88"/>
  <c r="AE42" i="88"/>
  <c r="N62" i="88"/>
  <c r="AF62" i="88"/>
  <c r="M66" i="88"/>
  <c r="AE62" i="88"/>
  <c r="N58" i="88"/>
  <c r="AF58" i="88"/>
  <c r="AE58" i="88"/>
  <c r="N5" i="88"/>
  <c r="N6" i="88"/>
  <c r="AE20" i="88"/>
  <c r="N30" i="88"/>
  <c r="AF47" i="88"/>
  <c r="N53" i="88"/>
  <c r="AE19" i="88"/>
  <c r="AF20" i="88"/>
  <c r="N52" i="88"/>
  <c r="AE18" i="88"/>
  <c r="AF19" i="88"/>
  <c r="N51" i="88"/>
  <c r="AF61" i="88"/>
  <c r="AE17" i="88"/>
  <c r="M21" i="88"/>
  <c r="N50" i="88"/>
  <c r="N65" i="88"/>
  <c r="AE5" i="88"/>
  <c r="AE6" i="88"/>
  <c r="AE30" i="88"/>
  <c r="P49" i="88"/>
  <c r="AE53" i="88"/>
  <c r="AF5" i="88"/>
  <c r="AF29" i="88"/>
  <c r="AF32" i="88"/>
  <c r="P47" i="88"/>
  <c r="P48" i="88"/>
  <c r="AE52" i="88"/>
  <c r="M13" i="88"/>
  <c r="M34" i="88"/>
  <c r="AE51" i="88"/>
  <c r="F6" i="87"/>
  <c r="AE50" i="88"/>
  <c r="E6" i="87"/>
  <c r="AD69" i="86"/>
  <c r="Z69" i="86"/>
  <c r="M19" i="85" s="1"/>
  <c r="Y69" i="86"/>
  <c r="O69" i="86"/>
  <c r="K69" i="86"/>
  <c r="V68" i="86"/>
  <c r="U68" i="86"/>
  <c r="O68" i="86"/>
  <c r="M68" i="86"/>
  <c r="AE68" i="86" s="1"/>
  <c r="K68" i="86"/>
  <c r="G68" i="86"/>
  <c r="X67" i="86"/>
  <c r="W67" i="86"/>
  <c r="V67" i="86"/>
  <c r="U67" i="86"/>
  <c r="O67" i="86"/>
  <c r="M67" i="86"/>
  <c r="K67" i="86"/>
  <c r="G67" i="86"/>
  <c r="V66" i="86"/>
  <c r="U66" i="86"/>
  <c r="O66" i="86"/>
  <c r="M66" i="86"/>
  <c r="AE66" i="86" s="1"/>
  <c r="K66" i="86"/>
  <c r="G66" i="86"/>
  <c r="V65" i="86"/>
  <c r="U65" i="86"/>
  <c r="O65" i="86"/>
  <c r="M65" i="86"/>
  <c r="N65" i="86" s="1"/>
  <c r="K65" i="86"/>
  <c r="G65" i="86"/>
  <c r="V64" i="86"/>
  <c r="M64" i="86" s="1"/>
  <c r="U64" i="86"/>
  <c r="O64" i="86"/>
  <c r="K64" i="86"/>
  <c r="G64" i="86"/>
  <c r="AF63" i="86"/>
  <c r="X63" i="86"/>
  <c r="W63" i="86"/>
  <c r="V63" i="86"/>
  <c r="O63" i="86"/>
  <c r="M63" i="86"/>
  <c r="N63" i="86" s="1"/>
  <c r="K63" i="86"/>
  <c r="G63" i="86"/>
  <c r="AD62" i="86"/>
  <c r="Z62" i="86"/>
  <c r="Y62" i="86"/>
  <c r="O62" i="86"/>
  <c r="K62" i="86"/>
  <c r="V61" i="86"/>
  <c r="M61" i="86" s="1"/>
  <c r="AF61" i="86" s="1"/>
  <c r="U61" i="86"/>
  <c r="O61" i="86"/>
  <c r="K61" i="86"/>
  <c r="G61" i="86"/>
  <c r="AF60" i="86"/>
  <c r="V60" i="86"/>
  <c r="M60" i="86" s="1"/>
  <c r="N60" i="86" s="1"/>
  <c r="U60" i="86"/>
  <c r="O60" i="86"/>
  <c r="K60" i="86"/>
  <c r="G60" i="86"/>
  <c r="V59" i="86"/>
  <c r="M59" i="86" s="1"/>
  <c r="U59" i="86"/>
  <c r="O59" i="86"/>
  <c r="K59" i="86"/>
  <c r="G59" i="86"/>
  <c r="V58" i="86"/>
  <c r="M58" i="86" s="1"/>
  <c r="U58" i="86"/>
  <c r="O58" i="86"/>
  <c r="K58" i="86"/>
  <c r="G58" i="86"/>
  <c r="V57" i="86"/>
  <c r="M57" i="86" s="1"/>
  <c r="O57" i="86"/>
  <c r="K57" i="86"/>
  <c r="G57" i="86"/>
  <c r="AD56" i="86"/>
  <c r="I21" i="85" s="1"/>
  <c r="Z56" i="86"/>
  <c r="I19" i="85" s="1"/>
  <c r="Y56" i="86"/>
  <c r="I18" i="85" s="1"/>
  <c r="O56" i="86"/>
  <c r="K56" i="86"/>
  <c r="V55" i="86"/>
  <c r="M55" i="86" s="1"/>
  <c r="U55" i="86"/>
  <c r="O55" i="86"/>
  <c r="K55" i="86"/>
  <c r="G55" i="86"/>
  <c r="AF54" i="86"/>
  <c r="V54" i="86"/>
  <c r="U54" i="86"/>
  <c r="Q54" i="86"/>
  <c r="P54" i="86"/>
  <c r="O54" i="86"/>
  <c r="N54" i="86"/>
  <c r="M54" i="86"/>
  <c r="AE54" i="86" s="1"/>
  <c r="K54" i="86"/>
  <c r="G54" i="86"/>
  <c r="AE53" i="86"/>
  <c r="V53" i="86"/>
  <c r="U53" i="86"/>
  <c r="O53" i="86"/>
  <c r="N53" i="86"/>
  <c r="M53" i="86"/>
  <c r="AF53" i="86" s="1"/>
  <c r="K53" i="86"/>
  <c r="G53" i="86"/>
  <c r="V52" i="86"/>
  <c r="U52" i="86"/>
  <c r="O52" i="86"/>
  <c r="N52" i="86"/>
  <c r="M52" i="86"/>
  <c r="K52" i="86"/>
  <c r="G52" i="86"/>
  <c r="V51" i="86"/>
  <c r="U51" i="86"/>
  <c r="O51" i="86"/>
  <c r="M51" i="86"/>
  <c r="K51" i="86"/>
  <c r="G51" i="86"/>
  <c r="V50" i="86"/>
  <c r="U50" i="86"/>
  <c r="O50" i="86"/>
  <c r="M50" i="86"/>
  <c r="AE50" i="86" s="1"/>
  <c r="K50" i="86"/>
  <c r="G50" i="86"/>
  <c r="V49" i="86"/>
  <c r="O49" i="86"/>
  <c r="M49" i="86"/>
  <c r="AE49" i="86" s="1"/>
  <c r="K49" i="86"/>
  <c r="G49" i="86"/>
  <c r="AD48" i="86"/>
  <c r="Z48" i="86"/>
  <c r="Y48" i="86"/>
  <c r="O48" i="86"/>
  <c r="K48" i="86"/>
  <c r="V47" i="86"/>
  <c r="M47" i="86" s="1"/>
  <c r="AF47" i="86" s="1"/>
  <c r="U47" i="86"/>
  <c r="O47" i="86"/>
  <c r="K47" i="86"/>
  <c r="G47" i="86"/>
  <c r="V46" i="86"/>
  <c r="M46" i="86" s="1"/>
  <c r="N46" i="86" s="1"/>
  <c r="U46" i="86"/>
  <c r="O46" i="86"/>
  <c r="K46" i="86"/>
  <c r="G46" i="86"/>
  <c r="V45" i="86"/>
  <c r="M45" i="86" s="1"/>
  <c r="AE45" i="86" s="1"/>
  <c r="U45" i="86"/>
  <c r="O45" i="86"/>
  <c r="K45" i="86"/>
  <c r="G45" i="86"/>
  <c r="X44" i="86"/>
  <c r="W44" i="86"/>
  <c r="V44" i="86"/>
  <c r="M44" i="86" s="1"/>
  <c r="O44" i="86"/>
  <c r="K44" i="86"/>
  <c r="G44" i="86"/>
  <c r="AD43" i="86"/>
  <c r="Z43" i="86"/>
  <c r="Y43" i="86"/>
  <c r="O43" i="86"/>
  <c r="K43" i="86"/>
  <c r="L13" i="85" s="1"/>
  <c r="V42" i="86"/>
  <c r="M42" i="86" s="1"/>
  <c r="U42" i="86"/>
  <c r="O42" i="86"/>
  <c r="K42" i="86"/>
  <c r="G42" i="86"/>
  <c r="V41" i="86"/>
  <c r="M41" i="86" s="1"/>
  <c r="U41" i="86"/>
  <c r="O41" i="86"/>
  <c r="K41" i="86"/>
  <c r="G41" i="86"/>
  <c r="X40" i="86"/>
  <c r="W40" i="86"/>
  <c r="V40" i="86"/>
  <c r="M40" i="86" s="1"/>
  <c r="U40" i="86"/>
  <c r="O40" i="86"/>
  <c r="K40" i="86"/>
  <c r="G40" i="86"/>
  <c r="V39" i="86"/>
  <c r="M39" i="86" s="1"/>
  <c r="U39" i="86"/>
  <c r="O39" i="86"/>
  <c r="K39" i="86"/>
  <c r="G39" i="86"/>
  <c r="V38" i="86"/>
  <c r="M38" i="86" s="1"/>
  <c r="U38" i="86"/>
  <c r="O38" i="86"/>
  <c r="K38" i="86"/>
  <c r="G38" i="86"/>
  <c r="V37" i="86"/>
  <c r="M37" i="86" s="1"/>
  <c r="U37" i="86"/>
  <c r="O37" i="86"/>
  <c r="K37" i="86"/>
  <c r="G37" i="86"/>
  <c r="X36" i="86"/>
  <c r="W36" i="86"/>
  <c r="V36" i="86"/>
  <c r="M36" i="86" s="1"/>
  <c r="O36" i="86"/>
  <c r="K36" i="86"/>
  <c r="G36" i="86"/>
  <c r="AD35" i="86"/>
  <c r="K21" i="85" s="1"/>
  <c r="Z35" i="86"/>
  <c r="K19" i="85" s="1"/>
  <c r="Y35" i="86"/>
  <c r="K18" i="85" s="1"/>
  <c r="O35" i="86"/>
  <c r="K35" i="86"/>
  <c r="V34" i="86"/>
  <c r="M34" i="86" s="1"/>
  <c r="U34" i="86"/>
  <c r="O34" i="86"/>
  <c r="K34" i="86"/>
  <c r="G34" i="86"/>
  <c r="AF33" i="86"/>
  <c r="V33" i="86"/>
  <c r="U33" i="86"/>
  <c r="Q33" i="86"/>
  <c r="P33" i="86"/>
  <c r="O33" i="86"/>
  <c r="N33" i="86"/>
  <c r="M33" i="86"/>
  <c r="AE33" i="86" s="1"/>
  <c r="K33" i="86"/>
  <c r="G33" i="86"/>
  <c r="X32" i="86"/>
  <c r="W32" i="86"/>
  <c r="V32" i="86"/>
  <c r="M32" i="86" s="1"/>
  <c r="U32" i="86"/>
  <c r="O32" i="86"/>
  <c r="K32" i="86"/>
  <c r="G32" i="86"/>
  <c r="AF31" i="86"/>
  <c r="V31" i="86"/>
  <c r="U31" i="86"/>
  <c r="Q31" i="86"/>
  <c r="P31" i="86"/>
  <c r="O31" i="86"/>
  <c r="N31" i="86"/>
  <c r="M31" i="86"/>
  <c r="AE31" i="86" s="1"/>
  <c r="K31" i="86"/>
  <c r="G31" i="86"/>
  <c r="AE30" i="86"/>
  <c r="V30" i="86"/>
  <c r="U30" i="86"/>
  <c r="O30" i="86"/>
  <c r="N30" i="86"/>
  <c r="M30" i="86"/>
  <c r="AF30" i="86" s="1"/>
  <c r="K30" i="86"/>
  <c r="G30" i="86"/>
  <c r="X29" i="86"/>
  <c r="W29" i="86"/>
  <c r="V29" i="86"/>
  <c r="M29" i="86" s="1"/>
  <c r="O29" i="86"/>
  <c r="K29" i="86"/>
  <c r="G29" i="86"/>
  <c r="AD28" i="86"/>
  <c r="Z28" i="86"/>
  <c r="G19" i="85" s="1"/>
  <c r="Y28" i="86"/>
  <c r="O28" i="86"/>
  <c r="K28" i="86"/>
  <c r="AE27" i="86"/>
  <c r="V27" i="86"/>
  <c r="U27" i="86"/>
  <c r="O27" i="86"/>
  <c r="N27" i="86"/>
  <c r="M27" i="86"/>
  <c r="AF27" i="86" s="1"/>
  <c r="K27" i="86"/>
  <c r="G27" i="86"/>
  <c r="V26" i="86"/>
  <c r="U26" i="86"/>
  <c r="O26" i="86"/>
  <c r="M26" i="86"/>
  <c r="K26" i="86"/>
  <c r="G26" i="86"/>
  <c r="V25" i="86"/>
  <c r="U25" i="86"/>
  <c r="O25" i="86"/>
  <c r="M25" i="86"/>
  <c r="K25" i="86"/>
  <c r="G25" i="86"/>
  <c r="V24" i="86"/>
  <c r="U24" i="86"/>
  <c r="O24" i="86"/>
  <c r="M24" i="86"/>
  <c r="AE24" i="86" s="1"/>
  <c r="K24" i="86"/>
  <c r="G24" i="86"/>
  <c r="V23" i="86"/>
  <c r="U23" i="86"/>
  <c r="O23" i="86"/>
  <c r="M23" i="86"/>
  <c r="N23" i="86" s="1"/>
  <c r="K23" i="86"/>
  <c r="G23" i="86"/>
  <c r="V22" i="86"/>
  <c r="O22" i="86"/>
  <c r="M22" i="86"/>
  <c r="K22" i="86"/>
  <c r="G22" i="86"/>
  <c r="F1" i="86" s="1"/>
  <c r="AD21" i="86"/>
  <c r="Z21" i="86"/>
  <c r="Y21" i="86"/>
  <c r="O21" i="86"/>
  <c r="K21" i="86"/>
  <c r="F13" i="85" s="1"/>
  <c r="AF20" i="86"/>
  <c r="AE20" i="86"/>
  <c r="V20" i="86"/>
  <c r="M20" i="86" s="1"/>
  <c r="N20" i="86" s="1"/>
  <c r="U20" i="86"/>
  <c r="O20" i="86"/>
  <c r="K20" i="86"/>
  <c r="G20" i="86"/>
  <c r="V19" i="86"/>
  <c r="M19" i="86" s="1"/>
  <c r="AE19" i="86" s="1"/>
  <c r="U19" i="86"/>
  <c r="O19" i="86"/>
  <c r="K19" i="86"/>
  <c r="G19" i="86"/>
  <c r="V18" i="86"/>
  <c r="M18" i="86" s="1"/>
  <c r="U18" i="86"/>
  <c r="O18" i="86"/>
  <c r="K18" i="86"/>
  <c r="G18" i="86"/>
  <c r="V17" i="86"/>
  <c r="M17" i="86" s="1"/>
  <c r="U17" i="86"/>
  <c r="O17" i="86"/>
  <c r="K17" i="86"/>
  <c r="G17" i="86"/>
  <c r="V16" i="86"/>
  <c r="M16" i="86" s="1"/>
  <c r="U16" i="86"/>
  <c r="O16" i="86"/>
  <c r="K16" i="86"/>
  <c r="G16" i="86"/>
  <c r="AF15" i="86"/>
  <c r="V15" i="86"/>
  <c r="U15" i="86"/>
  <c r="Q15" i="86"/>
  <c r="P15" i="86"/>
  <c r="O15" i="86"/>
  <c r="N15" i="86"/>
  <c r="M15" i="86"/>
  <c r="AE15" i="86" s="1"/>
  <c r="K15" i="86"/>
  <c r="G15" i="86"/>
  <c r="X14" i="86"/>
  <c r="W14" i="86"/>
  <c r="V14" i="86"/>
  <c r="M14" i="86" s="1"/>
  <c r="O14" i="86"/>
  <c r="K14" i="86"/>
  <c r="G14" i="86"/>
  <c r="AD13" i="86"/>
  <c r="E21" i="85" s="1"/>
  <c r="Z13" i="86"/>
  <c r="E19" i="85" s="1"/>
  <c r="Y13" i="86"/>
  <c r="E18" i="85" s="1"/>
  <c r="O13" i="86"/>
  <c r="K13" i="86"/>
  <c r="AF12" i="86"/>
  <c r="V12" i="86"/>
  <c r="U12" i="86"/>
  <c r="Q12" i="86"/>
  <c r="P12" i="86"/>
  <c r="O12" i="86"/>
  <c r="N12" i="86"/>
  <c r="M12" i="86"/>
  <c r="AE12" i="86" s="1"/>
  <c r="K12" i="86"/>
  <c r="G12" i="86"/>
  <c r="X11" i="86"/>
  <c r="W11" i="86"/>
  <c r="V11" i="86"/>
  <c r="M11" i="86" s="1"/>
  <c r="U11" i="86"/>
  <c r="O11" i="86"/>
  <c r="K11" i="86"/>
  <c r="G11" i="86"/>
  <c r="AF10" i="86"/>
  <c r="V10" i="86"/>
  <c r="U10" i="86"/>
  <c r="Q10" i="86"/>
  <c r="P10" i="86"/>
  <c r="O10" i="86"/>
  <c r="N10" i="86"/>
  <c r="M10" i="86"/>
  <c r="AE10" i="86" s="1"/>
  <c r="K10" i="86"/>
  <c r="G10" i="86"/>
  <c r="X9" i="86"/>
  <c r="W9" i="86"/>
  <c r="V9" i="86"/>
  <c r="M9" i="86" s="1"/>
  <c r="O9" i="86"/>
  <c r="K9" i="86"/>
  <c r="G9" i="86"/>
  <c r="AD8" i="86"/>
  <c r="AD2" i="86" s="1"/>
  <c r="N6" i="85" s="1"/>
  <c r="Z8" i="86"/>
  <c r="D19" i="85" s="1"/>
  <c r="Y8" i="86"/>
  <c r="O8" i="86"/>
  <c r="K8" i="86"/>
  <c r="AF7" i="86"/>
  <c r="V7" i="86"/>
  <c r="U7" i="86"/>
  <c r="Q7" i="86"/>
  <c r="P7" i="86"/>
  <c r="O7" i="86"/>
  <c r="N7" i="86"/>
  <c r="M7" i="86"/>
  <c r="AE7" i="86" s="1"/>
  <c r="K7" i="86"/>
  <c r="G7" i="86"/>
  <c r="AE6" i="86"/>
  <c r="V6" i="86"/>
  <c r="U6" i="86"/>
  <c r="O6" i="86"/>
  <c r="N6" i="86"/>
  <c r="M6" i="86"/>
  <c r="AF6" i="86" s="1"/>
  <c r="K6" i="86"/>
  <c r="G6" i="86"/>
  <c r="AE5" i="86"/>
  <c r="V5" i="86"/>
  <c r="P5" i="86"/>
  <c r="O5" i="86"/>
  <c r="N5" i="86"/>
  <c r="Q5" i="86" s="1"/>
  <c r="M5" i="86"/>
  <c r="M8" i="86" s="1"/>
  <c r="K5" i="86"/>
  <c r="G5" i="86"/>
  <c r="H2" i="86"/>
  <c r="H1" i="86"/>
  <c r="D1" i="86"/>
  <c r="M22" i="85"/>
  <c r="L22" i="85"/>
  <c r="K22" i="85"/>
  <c r="J22" i="85"/>
  <c r="I22" i="85"/>
  <c r="H22" i="85"/>
  <c r="G22" i="85"/>
  <c r="F22" i="85"/>
  <c r="E22" i="85"/>
  <c r="D22" i="85"/>
  <c r="M21" i="85"/>
  <c r="L21" i="85"/>
  <c r="J21" i="85"/>
  <c r="H21" i="85"/>
  <c r="G21" i="85"/>
  <c r="F21" i="85"/>
  <c r="M20" i="85"/>
  <c r="L20" i="85"/>
  <c r="K20" i="85"/>
  <c r="J20" i="85"/>
  <c r="I20" i="85"/>
  <c r="H20" i="85"/>
  <c r="G20" i="85"/>
  <c r="F20" i="85"/>
  <c r="E20" i="85"/>
  <c r="D20" i="85"/>
  <c r="L19" i="85"/>
  <c r="J19" i="85"/>
  <c r="H19" i="85"/>
  <c r="F19" i="85"/>
  <c r="M18" i="85"/>
  <c r="L18" i="85"/>
  <c r="J18" i="85"/>
  <c r="H18" i="85"/>
  <c r="G18" i="85"/>
  <c r="F18" i="85"/>
  <c r="M17" i="85"/>
  <c r="L17" i="85"/>
  <c r="K17" i="85"/>
  <c r="J17" i="85"/>
  <c r="I17" i="85"/>
  <c r="H17" i="85"/>
  <c r="G17" i="85"/>
  <c r="F17" i="85"/>
  <c r="E17" i="85"/>
  <c r="D17" i="85"/>
  <c r="M16" i="85"/>
  <c r="L16" i="85"/>
  <c r="K16" i="85"/>
  <c r="J16" i="85"/>
  <c r="I16" i="85"/>
  <c r="H16" i="85"/>
  <c r="G16" i="85"/>
  <c r="F16" i="85"/>
  <c r="E16" i="85"/>
  <c r="D16" i="85"/>
  <c r="M13" i="85"/>
  <c r="K13" i="85"/>
  <c r="I6" i="85" s="1"/>
  <c r="J13" i="85"/>
  <c r="I13" i="85"/>
  <c r="H13" i="85"/>
  <c r="G13" i="85"/>
  <c r="E13" i="85"/>
  <c r="D13" i="85"/>
  <c r="M6" i="85"/>
  <c r="F3" i="85"/>
  <c r="C3" i="85"/>
  <c r="E8" i="93" l="1"/>
  <c r="G7" i="91"/>
  <c r="F15" i="91"/>
  <c r="E7" i="91"/>
  <c r="G14" i="89"/>
  <c r="G15" i="89" s="1"/>
  <c r="E8" i="89" s="1"/>
  <c r="I7" i="89"/>
  <c r="P54" i="90"/>
  <c r="I8" i="89"/>
  <c r="P28" i="90"/>
  <c r="G8" i="89"/>
  <c r="D2" i="90"/>
  <c r="E7" i="89"/>
  <c r="Q66" i="90"/>
  <c r="R61" i="90" s="1"/>
  <c r="P66" i="90"/>
  <c r="Q63" i="88"/>
  <c r="P63" i="88"/>
  <c r="P39" i="88"/>
  <c r="Q39" i="88"/>
  <c r="Q51" i="88"/>
  <c r="P51" i="88"/>
  <c r="Q12" i="88"/>
  <c r="P12" i="88"/>
  <c r="P58" i="88"/>
  <c r="Q58" i="88"/>
  <c r="N60" i="88"/>
  <c r="AF60" i="88"/>
  <c r="AG55" i="88" s="1"/>
  <c r="AE60" i="88"/>
  <c r="Q22" i="88"/>
  <c r="P22" i="88"/>
  <c r="N28" i="88"/>
  <c r="AF28" i="88"/>
  <c r="AG22" i="88" s="1"/>
  <c r="AE28" i="88"/>
  <c r="AF66" i="88"/>
  <c r="AG61" i="88" s="1"/>
  <c r="AE66" i="88"/>
  <c r="N66" i="88"/>
  <c r="Q10" i="88"/>
  <c r="P10" i="88"/>
  <c r="Q55" i="88"/>
  <c r="P55" i="88"/>
  <c r="Q23" i="88"/>
  <c r="P23" i="88"/>
  <c r="Q36" i="88"/>
  <c r="P36" i="88"/>
  <c r="D14" i="87"/>
  <c r="D2" i="88"/>
  <c r="Q8" i="88"/>
  <c r="R5" i="88" s="1"/>
  <c r="P8" i="88"/>
  <c r="Q26" i="88"/>
  <c r="P26" i="88"/>
  <c r="Q45" i="88"/>
  <c r="P45" i="88"/>
  <c r="P44" i="88"/>
  <c r="Q44" i="88"/>
  <c r="N34" i="88"/>
  <c r="AF34" i="88"/>
  <c r="AG29" i="88" s="1"/>
  <c r="AE34" i="88"/>
  <c r="Q53" i="88"/>
  <c r="P53" i="88"/>
  <c r="Q62" i="88"/>
  <c r="P62" i="88"/>
  <c r="Q11" i="88"/>
  <c r="P11" i="88"/>
  <c r="Q56" i="88"/>
  <c r="P56" i="88"/>
  <c r="N13" i="88"/>
  <c r="AF13" i="88"/>
  <c r="AG9" i="88" s="1"/>
  <c r="AE13" i="88"/>
  <c r="Q65" i="88"/>
  <c r="P65" i="88"/>
  <c r="Q7" i="88"/>
  <c r="P7" i="88"/>
  <c r="N41" i="88"/>
  <c r="AF41" i="88"/>
  <c r="AG35" i="88" s="1"/>
  <c r="AE41" i="88"/>
  <c r="I14" i="87"/>
  <c r="I15" i="87" s="1"/>
  <c r="Q54" i="88"/>
  <c r="R47" i="88" s="1"/>
  <c r="P54" i="88"/>
  <c r="Q24" i="88"/>
  <c r="P24" i="88"/>
  <c r="Q52" i="88"/>
  <c r="P52" i="88"/>
  <c r="Q50" i="88"/>
  <c r="P50" i="88"/>
  <c r="Q30" i="88"/>
  <c r="P30" i="88"/>
  <c r="Q31" i="88"/>
  <c r="P31" i="88"/>
  <c r="N46" i="88"/>
  <c r="AF46" i="88"/>
  <c r="AG42" i="88" s="1"/>
  <c r="AE46" i="88"/>
  <c r="Q59" i="88"/>
  <c r="P59" i="88"/>
  <c r="N21" i="88"/>
  <c r="AF21" i="88"/>
  <c r="AG14" i="88" s="1"/>
  <c r="AE21" i="88"/>
  <c r="Q6" i="88"/>
  <c r="P6" i="88"/>
  <c r="Q42" i="88"/>
  <c r="P42" i="88"/>
  <c r="Q15" i="88"/>
  <c r="P15" i="88"/>
  <c r="Q25" i="88"/>
  <c r="P25" i="88"/>
  <c r="Q57" i="88"/>
  <c r="P57" i="88"/>
  <c r="Q33" i="88"/>
  <c r="P33" i="88"/>
  <c r="Q5" i="88"/>
  <c r="P5" i="88"/>
  <c r="Q27" i="88"/>
  <c r="P27" i="88"/>
  <c r="F2" i="86"/>
  <c r="I3" i="85"/>
  <c r="N64" i="86"/>
  <c r="AE64" i="86"/>
  <c r="AF11" i="86"/>
  <c r="AE11" i="86"/>
  <c r="N11" i="86"/>
  <c r="N14" i="86"/>
  <c r="M21" i="86"/>
  <c r="AF14" i="86"/>
  <c r="AE14" i="86"/>
  <c r="Q27" i="86"/>
  <c r="P27" i="86"/>
  <c r="Q63" i="86"/>
  <c r="P63" i="86"/>
  <c r="AF64" i="86"/>
  <c r="N17" i="86"/>
  <c r="AE17" i="86"/>
  <c r="AF17" i="86"/>
  <c r="N36" i="86"/>
  <c r="AF36" i="86"/>
  <c r="M43" i="86"/>
  <c r="AE36" i="86"/>
  <c r="AF52" i="86"/>
  <c r="AE52" i="86"/>
  <c r="AE40" i="86"/>
  <c r="N40" i="86"/>
  <c r="AF40" i="86"/>
  <c r="AF42" i="86"/>
  <c r="N42" i="86"/>
  <c r="M48" i="86"/>
  <c r="AF44" i="86"/>
  <c r="N44" i="86"/>
  <c r="P52" i="86"/>
  <c r="Q52" i="86"/>
  <c r="N59" i="86"/>
  <c r="AF59" i="86"/>
  <c r="AF19" i="86"/>
  <c r="N19" i="86"/>
  <c r="N47" i="86"/>
  <c r="AE47" i="86"/>
  <c r="Q6" i="86"/>
  <c r="P6" i="86"/>
  <c r="N67" i="86"/>
  <c r="AF67" i="86"/>
  <c r="AE67" i="86"/>
  <c r="M28" i="86"/>
  <c r="AF26" i="86"/>
  <c r="AE26" i="86"/>
  <c r="N38" i="86"/>
  <c r="AE38" i="86"/>
  <c r="AF38" i="86"/>
  <c r="Q46" i="86"/>
  <c r="P46" i="86"/>
  <c r="AF57" i="86"/>
  <c r="N57" i="86"/>
  <c r="M62" i="86"/>
  <c r="AE57" i="86"/>
  <c r="M69" i="86"/>
  <c r="AF34" i="86"/>
  <c r="AE34" i="86"/>
  <c r="N34" i="86"/>
  <c r="AE42" i="86"/>
  <c r="AE59" i="86"/>
  <c r="N61" i="86"/>
  <c r="AE61" i="86"/>
  <c r="Q65" i="86"/>
  <c r="P65" i="86"/>
  <c r="N9" i="86"/>
  <c r="M13" i="86"/>
  <c r="AF9" i="86"/>
  <c r="AE9" i="86"/>
  <c r="Q20" i="86"/>
  <c r="P20" i="86"/>
  <c r="N26" i="86"/>
  <c r="M35" i="86"/>
  <c r="AF29" i="86"/>
  <c r="AE29" i="86"/>
  <c r="N29" i="86"/>
  <c r="AE44" i="86"/>
  <c r="AE46" i="86"/>
  <c r="AF37" i="86"/>
  <c r="AE37" i="86"/>
  <c r="N37" i="86"/>
  <c r="AF45" i="86"/>
  <c r="N45" i="86"/>
  <c r="Q30" i="86"/>
  <c r="P30" i="86"/>
  <c r="N8" i="86"/>
  <c r="AF8" i="86"/>
  <c r="AG5" i="86" s="1"/>
  <c r="AE8" i="86"/>
  <c r="AF18" i="86"/>
  <c r="N18" i="86"/>
  <c r="AE18" i="86"/>
  <c r="AF46" i="86"/>
  <c r="AF55" i="86"/>
  <c r="AE55" i="86"/>
  <c r="N55" i="86"/>
  <c r="Q23" i="86"/>
  <c r="P23" i="86"/>
  <c r="AF25" i="86"/>
  <c r="N25" i="86"/>
  <c r="AE25" i="86"/>
  <c r="AF16" i="86"/>
  <c r="AE16" i="86"/>
  <c r="N16" i="86"/>
  <c r="AF51" i="86"/>
  <c r="N51" i="86"/>
  <c r="AE51" i="86"/>
  <c r="Q60" i="86"/>
  <c r="P60" i="86"/>
  <c r="G6" i="85"/>
  <c r="F6" i="85"/>
  <c r="E6" i="85"/>
  <c r="AF32" i="86"/>
  <c r="AE32" i="86"/>
  <c r="N32" i="86"/>
  <c r="Y2" i="86"/>
  <c r="K6" i="85" s="1"/>
  <c r="D18" i="85"/>
  <c r="AF39" i="86"/>
  <c r="AE39" i="86"/>
  <c r="N39" i="86"/>
  <c r="AF41" i="86"/>
  <c r="AE41" i="86"/>
  <c r="N41" i="86"/>
  <c r="Q53" i="86"/>
  <c r="P53" i="86"/>
  <c r="AF58" i="86"/>
  <c r="N58" i="86"/>
  <c r="AE58" i="86"/>
  <c r="AE60" i="86"/>
  <c r="AE22" i="86"/>
  <c r="AE23" i="86"/>
  <c r="AF24" i="86"/>
  <c r="AF49" i="86"/>
  <c r="AF50" i="86"/>
  <c r="AE65" i="86"/>
  <c r="AF66" i="86"/>
  <c r="AF68" i="86"/>
  <c r="AF22" i="86"/>
  <c r="AF23" i="86"/>
  <c r="AE63" i="86"/>
  <c r="AF65" i="86"/>
  <c r="D21" i="85"/>
  <c r="N22" i="86"/>
  <c r="Z2" i="86"/>
  <c r="L6" i="85" s="1"/>
  <c r="AF5" i="86"/>
  <c r="M56" i="86"/>
  <c r="N24" i="86"/>
  <c r="N49" i="86"/>
  <c r="N50" i="86"/>
  <c r="N66" i="86"/>
  <c r="N68" i="86"/>
  <c r="AD70" i="84"/>
  <c r="Z70" i="84"/>
  <c r="Y70" i="84"/>
  <c r="O70" i="84"/>
  <c r="K70" i="84"/>
  <c r="AF69" i="84"/>
  <c r="V69" i="84"/>
  <c r="U69" i="84"/>
  <c r="O69" i="84"/>
  <c r="M69" i="84"/>
  <c r="AE69" i="84" s="1"/>
  <c r="K69" i="84"/>
  <c r="G69" i="84"/>
  <c r="AF68" i="84"/>
  <c r="X68" i="84"/>
  <c r="W68" i="84"/>
  <c r="V68" i="84"/>
  <c r="U68" i="84"/>
  <c r="O68" i="84"/>
  <c r="M68" i="84"/>
  <c r="N68" i="84" s="1"/>
  <c r="K68" i="84"/>
  <c r="G68" i="84"/>
  <c r="AF67" i="84"/>
  <c r="V67" i="84"/>
  <c r="U67" i="84"/>
  <c r="O67" i="84"/>
  <c r="M67" i="84"/>
  <c r="AE67" i="84" s="1"/>
  <c r="K67" i="84"/>
  <c r="G67" i="84"/>
  <c r="AF66" i="84"/>
  <c r="AE66" i="84"/>
  <c r="V66" i="84"/>
  <c r="U66" i="84"/>
  <c r="O66" i="84"/>
  <c r="M66" i="84"/>
  <c r="N66" i="84" s="1"/>
  <c r="K66" i="84"/>
  <c r="G66" i="84"/>
  <c r="V65" i="84"/>
  <c r="M65" i="84" s="1"/>
  <c r="U65" i="84"/>
  <c r="O65" i="84"/>
  <c r="K65" i="84"/>
  <c r="G65" i="84"/>
  <c r="AF64" i="84"/>
  <c r="AE64" i="84"/>
  <c r="X64" i="84"/>
  <c r="W64" i="84"/>
  <c r="V64" i="84"/>
  <c r="O64" i="84"/>
  <c r="M64" i="84"/>
  <c r="N64" i="84" s="1"/>
  <c r="K64" i="84"/>
  <c r="G64" i="84"/>
  <c r="AD63" i="84"/>
  <c r="Z63" i="84"/>
  <c r="Y63" i="84"/>
  <c r="O63" i="84"/>
  <c r="K63" i="84"/>
  <c r="V62" i="84"/>
  <c r="M62" i="84" s="1"/>
  <c r="U62" i="84"/>
  <c r="O62" i="84"/>
  <c r="K62" i="84"/>
  <c r="G62" i="84"/>
  <c r="V61" i="84"/>
  <c r="M61" i="84" s="1"/>
  <c r="U61" i="84"/>
  <c r="O61" i="84"/>
  <c r="K61" i="84"/>
  <c r="G61" i="84"/>
  <c r="V60" i="84"/>
  <c r="M60" i="84" s="1"/>
  <c r="U60" i="84"/>
  <c r="O60" i="84"/>
  <c r="K60" i="84"/>
  <c r="G60" i="84"/>
  <c r="V59" i="84"/>
  <c r="M59" i="84" s="1"/>
  <c r="U59" i="84"/>
  <c r="O59" i="84"/>
  <c r="K59" i="84"/>
  <c r="G59" i="84"/>
  <c r="V58" i="84"/>
  <c r="M58" i="84" s="1"/>
  <c r="O58" i="84"/>
  <c r="K58" i="84"/>
  <c r="G58" i="84"/>
  <c r="AD57" i="84"/>
  <c r="Z57" i="84"/>
  <c r="I19" i="83" s="1"/>
  <c r="Y57" i="84"/>
  <c r="I18" i="83" s="1"/>
  <c r="O57" i="84"/>
  <c r="K57" i="84"/>
  <c r="V56" i="84"/>
  <c r="M56" i="84" s="1"/>
  <c r="U56" i="84"/>
  <c r="O56" i="84"/>
  <c r="K56" i="84"/>
  <c r="G56" i="84"/>
  <c r="V55" i="84"/>
  <c r="U55" i="84"/>
  <c r="O55" i="84"/>
  <c r="N55" i="84"/>
  <c r="Q55" i="84" s="1"/>
  <c r="M55" i="84"/>
  <c r="AF55" i="84" s="1"/>
  <c r="K55" i="84"/>
  <c r="G55" i="84"/>
  <c r="V54" i="84"/>
  <c r="U54" i="84"/>
  <c r="O54" i="84"/>
  <c r="M54" i="84"/>
  <c r="AF54" i="84" s="1"/>
  <c r="K54" i="84"/>
  <c r="G54" i="84"/>
  <c r="V53" i="84"/>
  <c r="U53" i="84"/>
  <c r="O53" i="84"/>
  <c r="M53" i="84"/>
  <c r="AF53" i="84" s="1"/>
  <c r="K53" i="84"/>
  <c r="G53" i="84"/>
  <c r="V52" i="84"/>
  <c r="U52" i="84"/>
  <c r="O52" i="84"/>
  <c r="M52" i="84"/>
  <c r="AF52" i="84" s="1"/>
  <c r="K52" i="84"/>
  <c r="G52" i="84"/>
  <c r="AF51" i="84"/>
  <c r="V51" i="84"/>
  <c r="U51" i="84"/>
  <c r="O51" i="84"/>
  <c r="M51" i="84"/>
  <c r="AE51" i="84" s="1"/>
  <c r="K51" i="84"/>
  <c r="G51" i="84"/>
  <c r="AF50" i="84"/>
  <c r="V50" i="84"/>
  <c r="O50" i="84"/>
  <c r="M50" i="84"/>
  <c r="AE50" i="84" s="1"/>
  <c r="K50" i="84"/>
  <c r="G50" i="84"/>
  <c r="AD49" i="84"/>
  <c r="Z49" i="84"/>
  <c r="Y49" i="84"/>
  <c r="O49" i="84"/>
  <c r="K49" i="84"/>
  <c r="V48" i="84"/>
  <c r="M48" i="84" s="1"/>
  <c r="U48" i="84"/>
  <c r="O48" i="84"/>
  <c r="K48" i="84"/>
  <c r="G48" i="84"/>
  <c r="V47" i="84"/>
  <c r="M47" i="84" s="1"/>
  <c r="U47" i="84"/>
  <c r="O47" i="84"/>
  <c r="K47" i="84"/>
  <c r="G47" i="84"/>
  <c r="V46" i="84"/>
  <c r="M46" i="84" s="1"/>
  <c r="U46" i="84"/>
  <c r="O46" i="84"/>
  <c r="K46" i="84"/>
  <c r="G46" i="84"/>
  <c r="X45" i="84"/>
  <c r="W45" i="84"/>
  <c r="V45" i="84"/>
  <c r="M45" i="84" s="1"/>
  <c r="O45" i="84"/>
  <c r="K45" i="84"/>
  <c r="G45" i="84"/>
  <c r="AD44" i="84"/>
  <c r="L21" i="83" s="1"/>
  <c r="Z44" i="84"/>
  <c r="L19" i="83" s="1"/>
  <c r="Y44" i="84"/>
  <c r="O44" i="84"/>
  <c r="K44" i="84"/>
  <c r="V43" i="84"/>
  <c r="M43" i="84" s="1"/>
  <c r="U43" i="84"/>
  <c r="O43" i="84"/>
  <c r="K43" i="84"/>
  <c r="G43" i="84"/>
  <c r="V42" i="84"/>
  <c r="M42" i="84" s="1"/>
  <c r="U42" i="84"/>
  <c r="O42" i="84"/>
  <c r="K42" i="84"/>
  <c r="G42" i="84"/>
  <c r="X41" i="84"/>
  <c r="W41" i="84"/>
  <c r="V41" i="84"/>
  <c r="M41" i="84" s="1"/>
  <c r="U41" i="84"/>
  <c r="O41" i="84"/>
  <c r="K41" i="84"/>
  <c r="G41" i="84"/>
  <c r="V40" i="84"/>
  <c r="M40" i="84" s="1"/>
  <c r="U40" i="84"/>
  <c r="O40" i="84"/>
  <c r="K40" i="84"/>
  <c r="G40" i="84"/>
  <c r="V39" i="84"/>
  <c r="M39" i="84" s="1"/>
  <c r="U39" i="84"/>
  <c r="O39" i="84"/>
  <c r="K39" i="84"/>
  <c r="G39" i="84"/>
  <c r="V38" i="84"/>
  <c r="M38" i="84" s="1"/>
  <c r="U38" i="84"/>
  <c r="O38" i="84"/>
  <c r="K38" i="84"/>
  <c r="G38" i="84"/>
  <c r="X37" i="84"/>
  <c r="W37" i="84"/>
  <c r="V37" i="84"/>
  <c r="M37" i="84" s="1"/>
  <c r="O37" i="84"/>
  <c r="K37" i="84"/>
  <c r="G37" i="84"/>
  <c r="AD36" i="84"/>
  <c r="Z36" i="84"/>
  <c r="K19" i="83" s="1"/>
  <c r="Y36" i="84"/>
  <c r="K18" i="83" s="1"/>
  <c r="O36" i="84"/>
  <c r="K36" i="84"/>
  <c r="V35" i="84"/>
  <c r="M35" i="84" s="1"/>
  <c r="U35" i="84"/>
  <c r="O35" i="84"/>
  <c r="K35" i="84"/>
  <c r="G35" i="84"/>
  <c r="V34" i="84"/>
  <c r="U34" i="84"/>
  <c r="O34" i="84"/>
  <c r="N34" i="84"/>
  <c r="Q34" i="84" s="1"/>
  <c r="M34" i="84"/>
  <c r="AF34" i="84" s="1"/>
  <c r="K34" i="84"/>
  <c r="G34" i="84"/>
  <c r="X33" i="84"/>
  <c r="W33" i="84"/>
  <c r="V33" i="84"/>
  <c r="M33" i="84" s="1"/>
  <c r="U33" i="84"/>
  <c r="O33" i="84"/>
  <c r="K33" i="84"/>
  <c r="G33" i="84"/>
  <c r="V32" i="84"/>
  <c r="U32" i="84"/>
  <c r="O32" i="84"/>
  <c r="N32" i="84"/>
  <c r="Q32" i="84" s="1"/>
  <c r="M32" i="84"/>
  <c r="AF32" i="84" s="1"/>
  <c r="K32" i="84"/>
  <c r="G32" i="84"/>
  <c r="V31" i="84"/>
  <c r="U31" i="84"/>
  <c r="O31" i="84"/>
  <c r="M31" i="84"/>
  <c r="AF31" i="84" s="1"/>
  <c r="K31" i="84"/>
  <c r="G31" i="84"/>
  <c r="X30" i="84"/>
  <c r="W30" i="84"/>
  <c r="V30" i="84"/>
  <c r="M30" i="84" s="1"/>
  <c r="O30" i="84"/>
  <c r="K30" i="84"/>
  <c r="G30" i="84"/>
  <c r="AD29" i="84"/>
  <c r="G21" i="83" s="1"/>
  <c r="Z29" i="84"/>
  <c r="Y29" i="84"/>
  <c r="O29" i="84"/>
  <c r="K29" i="84"/>
  <c r="V28" i="84"/>
  <c r="U28" i="84"/>
  <c r="O28" i="84"/>
  <c r="M28" i="84"/>
  <c r="AF28" i="84" s="1"/>
  <c r="K28" i="84"/>
  <c r="G28" i="84"/>
  <c r="V27" i="84"/>
  <c r="U27" i="84"/>
  <c r="O27" i="84"/>
  <c r="M27" i="84"/>
  <c r="AF27" i="84" s="1"/>
  <c r="K27" i="84"/>
  <c r="G27" i="84"/>
  <c r="V26" i="84"/>
  <c r="U26" i="84"/>
  <c r="O26" i="84"/>
  <c r="M26" i="84"/>
  <c r="AF26" i="84" s="1"/>
  <c r="K26" i="84"/>
  <c r="G26" i="84"/>
  <c r="AF25" i="84"/>
  <c r="V25" i="84"/>
  <c r="U25" i="84"/>
  <c r="O25" i="84"/>
  <c r="M25" i="84"/>
  <c r="AE25" i="84" s="1"/>
  <c r="K25" i="84"/>
  <c r="G25" i="84"/>
  <c r="AF24" i="84"/>
  <c r="AE24" i="84"/>
  <c r="V24" i="84"/>
  <c r="U24" i="84"/>
  <c r="O24" i="84"/>
  <c r="M24" i="84"/>
  <c r="N24" i="84" s="1"/>
  <c r="K24" i="84"/>
  <c r="G24" i="84"/>
  <c r="AF23" i="84"/>
  <c r="AE23" i="84"/>
  <c r="V23" i="84"/>
  <c r="O23" i="84"/>
  <c r="M23" i="84"/>
  <c r="M29" i="84" s="1"/>
  <c r="K23" i="84"/>
  <c r="G23" i="84"/>
  <c r="AD22" i="84"/>
  <c r="F21" i="83" s="1"/>
  <c r="Z22" i="84"/>
  <c r="Y22" i="84"/>
  <c r="O22" i="84"/>
  <c r="K22" i="84"/>
  <c r="V21" i="84"/>
  <c r="M21" i="84" s="1"/>
  <c r="U21" i="84"/>
  <c r="O21" i="84"/>
  <c r="K21" i="84"/>
  <c r="G21" i="84"/>
  <c r="V20" i="84"/>
  <c r="M20" i="84" s="1"/>
  <c r="U20" i="84"/>
  <c r="O20" i="84"/>
  <c r="K20" i="84"/>
  <c r="G20" i="84"/>
  <c r="V19" i="84"/>
  <c r="M19" i="84" s="1"/>
  <c r="U19" i="84"/>
  <c r="O19" i="84"/>
  <c r="K19" i="84"/>
  <c r="G19" i="84"/>
  <c r="V18" i="84"/>
  <c r="M18" i="84" s="1"/>
  <c r="U18" i="84"/>
  <c r="O18" i="84"/>
  <c r="K18" i="84"/>
  <c r="G18" i="84"/>
  <c r="V17" i="84"/>
  <c r="M17" i="84" s="1"/>
  <c r="U17" i="84"/>
  <c r="O17" i="84"/>
  <c r="K17" i="84"/>
  <c r="G17" i="84"/>
  <c r="V16" i="84"/>
  <c r="U16" i="84"/>
  <c r="O16" i="84"/>
  <c r="N16" i="84"/>
  <c r="Q16" i="84" s="1"/>
  <c r="M16" i="84"/>
  <c r="AF16" i="84" s="1"/>
  <c r="K16" i="84"/>
  <c r="G16" i="84"/>
  <c r="X15" i="84"/>
  <c r="W15" i="84"/>
  <c r="V15" i="84"/>
  <c r="M15" i="84" s="1"/>
  <c r="O15" i="84"/>
  <c r="K15" i="84"/>
  <c r="G15" i="84"/>
  <c r="AD14" i="84"/>
  <c r="E21" i="83" s="1"/>
  <c r="Z14" i="84"/>
  <c r="Y14" i="84"/>
  <c r="O14" i="84"/>
  <c r="K14" i="84"/>
  <c r="V13" i="84"/>
  <c r="U13" i="84"/>
  <c r="O13" i="84"/>
  <c r="N13" i="84"/>
  <c r="Q13" i="84" s="1"/>
  <c r="M13" i="84"/>
  <c r="AF13" i="84" s="1"/>
  <c r="K13" i="84"/>
  <c r="G13" i="84"/>
  <c r="V12" i="84"/>
  <c r="U12" i="84"/>
  <c r="O12" i="84"/>
  <c r="M12" i="84"/>
  <c r="AF12" i="84" s="1"/>
  <c r="K12" i="84"/>
  <c r="G12" i="84"/>
  <c r="X11" i="84"/>
  <c r="W11" i="84"/>
  <c r="V11" i="84"/>
  <c r="U11" i="84"/>
  <c r="O11" i="84"/>
  <c r="N11" i="84"/>
  <c r="Q11" i="84" s="1"/>
  <c r="M11" i="84"/>
  <c r="AF11" i="84" s="1"/>
  <c r="K11" i="84"/>
  <c r="G11" i="84"/>
  <c r="V10" i="84"/>
  <c r="U10" i="84"/>
  <c r="O10" i="84"/>
  <c r="M10" i="84"/>
  <c r="AF10" i="84" s="1"/>
  <c r="K10" i="84"/>
  <c r="G10" i="84"/>
  <c r="X9" i="84"/>
  <c r="W9" i="84"/>
  <c r="V9" i="84"/>
  <c r="M9" i="84" s="1"/>
  <c r="O9" i="84"/>
  <c r="K9" i="84"/>
  <c r="G9" i="84"/>
  <c r="AD8" i="84"/>
  <c r="AD2" i="84" s="1"/>
  <c r="N6" i="83" s="1"/>
  <c r="Z8" i="84"/>
  <c r="D19" i="83" s="1"/>
  <c r="Y8" i="84"/>
  <c r="Y2" i="84" s="1"/>
  <c r="K6" i="83" s="1"/>
  <c r="O8" i="84"/>
  <c r="K8" i="84"/>
  <c r="V7" i="84"/>
  <c r="U7" i="84"/>
  <c r="O7" i="84"/>
  <c r="M7" i="84"/>
  <c r="AF7" i="84" s="1"/>
  <c r="K7" i="84"/>
  <c r="G7" i="84"/>
  <c r="V6" i="84"/>
  <c r="U6" i="84"/>
  <c r="O6" i="84"/>
  <c r="M6" i="84"/>
  <c r="AF6" i="84" s="1"/>
  <c r="K6" i="84"/>
  <c r="G6" i="84"/>
  <c r="V5" i="84"/>
  <c r="O5" i="84"/>
  <c r="M5" i="84"/>
  <c r="M8" i="84" s="1"/>
  <c r="K5" i="84"/>
  <c r="G5" i="84"/>
  <c r="F1" i="84" s="1"/>
  <c r="H2" i="84"/>
  <c r="H1" i="84"/>
  <c r="D1" i="84"/>
  <c r="M22" i="83"/>
  <c r="L22" i="83"/>
  <c r="K22" i="83"/>
  <c r="J22" i="83"/>
  <c r="I22" i="83"/>
  <c r="H22" i="83"/>
  <c r="G22" i="83"/>
  <c r="F22" i="83"/>
  <c r="E22" i="83"/>
  <c r="D22" i="83"/>
  <c r="M21" i="83"/>
  <c r="K21" i="83"/>
  <c r="J21" i="83"/>
  <c r="I21" i="83"/>
  <c r="H21" i="83"/>
  <c r="M20" i="83"/>
  <c r="L20" i="83"/>
  <c r="K20" i="83"/>
  <c r="J20" i="83"/>
  <c r="I20" i="83"/>
  <c r="H20" i="83"/>
  <c r="G20" i="83"/>
  <c r="F20" i="83"/>
  <c r="E20" i="83"/>
  <c r="D20" i="83"/>
  <c r="M19" i="83"/>
  <c r="J19" i="83"/>
  <c r="H19" i="83"/>
  <c r="G19" i="83"/>
  <c r="F19" i="83"/>
  <c r="E19" i="83"/>
  <c r="M18" i="83"/>
  <c r="L18" i="83"/>
  <c r="J18" i="83"/>
  <c r="H18" i="83"/>
  <c r="G18" i="83"/>
  <c r="F18" i="83"/>
  <c r="E18" i="83"/>
  <c r="D18" i="83"/>
  <c r="M17" i="83"/>
  <c r="L17" i="83"/>
  <c r="K17" i="83"/>
  <c r="J17" i="83"/>
  <c r="I17" i="83"/>
  <c r="H17" i="83"/>
  <c r="G17" i="83"/>
  <c r="F17" i="83"/>
  <c r="E17" i="83"/>
  <c r="D17" i="83"/>
  <c r="M16" i="83"/>
  <c r="L16" i="83"/>
  <c r="K16" i="83"/>
  <c r="J16" i="83"/>
  <c r="I16" i="83"/>
  <c r="H16" i="83"/>
  <c r="G16" i="83"/>
  <c r="F16" i="83"/>
  <c r="E16" i="83"/>
  <c r="D16" i="83"/>
  <c r="M13" i="83"/>
  <c r="L13" i="83"/>
  <c r="K13" i="83"/>
  <c r="I6" i="83" s="1"/>
  <c r="J13" i="83"/>
  <c r="I13" i="83"/>
  <c r="H13" i="83"/>
  <c r="G13" i="83"/>
  <c r="F13" i="83"/>
  <c r="E13" i="83"/>
  <c r="D13" i="83"/>
  <c r="M6" i="83"/>
  <c r="F3" i="83"/>
  <c r="C3" i="83"/>
  <c r="G8" i="91" l="1"/>
  <c r="E8" i="91"/>
  <c r="F8" i="91"/>
  <c r="G7" i="89"/>
  <c r="F7" i="89"/>
  <c r="F8" i="89"/>
  <c r="J14" i="87"/>
  <c r="J15" i="87" s="1"/>
  <c r="Q60" i="88"/>
  <c r="R55" i="88" s="1"/>
  <c r="P60" i="88"/>
  <c r="Q41" i="88"/>
  <c r="R35" i="88" s="1"/>
  <c r="P41" i="88"/>
  <c r="L14" i="87"/>
  <c r="L15" i="87" s="1"/>
  <c r="M14" i="87"/>
  <c r="M15" i="87" s="1"/>
  <c r="Q66" i="88"/>
  <c r="R61" i="88" s="1"/>
  <c r="P66" i="88"/>
  <c r="D15" i="87"/>
  <c r="K14" i="87"/>
  <c r="Q34" i="88"/>
  <c r="R29" i="88" s="1"/>
  <c r="P34" i="88"/>
  <c r="G14" i="87"/>
  <c r="G15" i="87" s="1"/>
  <c r="Q28" i="88"/>
  <c r="R22" i="88" s="1"/>
  <c r="P28" i="88"/>
  <c r="E14" i="87"/>
  <c r="E15" i="87" s="1"/>
  <c r="Q13" i="88"/>
  <c r="R9" i="88" s="1"/>
  <c r="P13" i="88"/>
  <c r="F14" i="87"/>
  <c r="F15" i="87" s="1"/>
  <c r="Q21" i="88"/>
  <c r="R14" i="88" s="1"/>
  <c r="P21" i="88"/>
  <c r="H14" i="87"/>
  <c r="H15" i="87" s="1"/>
  <c r="Q46" i="88"/>
  <c r="R42" i="88" s="1"/>
  <c r="P46" i="88"/>
  <c r="AF69" i="86"/>
  <c r="AG63" i="86" s="1"/>
  <c r="AE69" i="86"/>
  <c r="N69" i="86"/>
  <c r="Q16" i="86"/>
  <c r="P16" i="86"/>
  <c r="N13" i="86"/>
  <c r="AF13" i="86"/>
  <c r="AG9" i="86" s="1"/>
  <c r="AE13" i="86"/>
  <c r="N43" i="86"/>
  <c r="AE43" i="86"/>
  <c r="AF43" i="86"/>
  <c r="AG36" i="86" s="1"/>
  <c r="Q37" i="86"/>
  <c r="P37" i="86"/>
  <c r="Q58" i="86"/>
  <c r="P58" i="86"/>
  <c r="AF28" i="86"/>
  <c r="AG22" i="86" s="1"/>
  <c r="AE28" i="86"/>
  <c r="N28" i="86"/>
  <c r="Q68" i="86"/>
  <c r="P68" i="86"/>
  <c r="Q32" i="86"/>
  <c r="P32" i="86"/>
  <c r="Q18" i="86"/>
  <c r="P18" i="86"/>
  <c r="P9" i="86"/>
  <c r="Q9" i="86"/>
  <c r="N62" i="86"/>
  <c r="AF62" i="86"/>
  <c r="AG57" i="86" s="1"/>
  <c r="AE62" i="86"/>
  <c r="Q44" i="86"/>
  <c r="P44" i="86"/>
  <c r="N21" i="86"/>
  <c r="AE21" i="86"/>
  <c r="AF21" i="86"/>
  <c r="AG14" i="86" s="1"/>
  <c r="Q66" i="86"/>
  <c r="P66" i="86"/>
  <c r="Q57" i="86"/>
  <c r="P57" i="86"/>
  <c r="Q67" i="86"/>
  <c r="P67" i="86"/>
  <c r="Q36" i="86"/>
  <c r="P36" i="86"/>
  <c r="P14" i="86"/>
  <c r="Q14" i="86"/>
  <c r="Q50" i="86"/>
  <c r="P50" i="86"/>
  <c r="Q29" i="86"/>
  <c r="P29" i="86"/>
  <c r="N48" i="86"/>
  <c r="AF48" i="86"/>
  <c r="AG44" i="86" s="1"/>
  <c r="AE48" i="86"/>
  <c r="P11" i="86"/>
  <c r="Q11" i="86"/>
  <c r="Q25" i="86"/>
  <c r="P25" i="86"/>
  <c r="Q24" i="86"/>
  <c r="P24" i="86"/>
  <c r="Q41" i="86"/>
  <c r="P41" i="86"/>
  <c r="D14" i="85"/>
  <c r="P8" i="86"/>
  <c r="Q8" i="86"/>
  <c r="R5" i="86" s="1"/>
  <c r="Q61" i="86"/>
  <c r="P61" i="86"/>
  <c r="P17" i="86"/>
  <c r="Q17" i="86"/>
  <c r="P59" i="86"/>
  <c r="Q59" i="86"/>
  <c r="P42" i="86"/>
  <c r="Q42" i="86"/>
  <c r="Q51" i="86"/>
  <c r="P51" i="86"/>
  <c r="Q49" i="86"/>
  <c r="P49" i="86"/>
  <c r="AE56" i="86"/>
  <c r="N56" i="86"/>
  <c r="AF56" i="86"/>
  <c r="AG49" i="86" s="1"/>
  <c r="AE35" i="86"/>
  <c r="N35" i="86"/>
  <c r="AF35" i="86"/>
  <c r="AG29" i="86" s="1"/>
  <c r="Q47" i="86"/>
  <c r="P47" i="86"/>
  <c r="P26" i="86"/>
  <c r="Q26" i="86"/>
  <c r="P19" i="86"/>
  <c r="Q19" i="86"/>
  <c r="P40" i="86"/>
  <c r="Q40" i="86"/>
  <c r="Q64" i="86"/>
  <c r="P64" i="86"/>
  <c r="Q39" i="86"/>
  <c r="P39" i="86"/>
  <c r="P55" i="86"/>
  <c r="Q55" i="86"/>
  <c r="P45" i="86"/>
  <c r="Q45" i="86"/>
  <c r="Q34" i="86"/>
  <c r="P34" i="86"/>
  <c r="P38" i="86"/>
  <c r="Q38" i="86"/>
  <c r="Q22" i="86"/>
  <c r="P22" i="86"/>
  <c r="N19" i="84"/>
  <c r="AF19" i="84"/>
  <c r="AE19" i="84"/>
  <c r="N20" i="84"/>
  <c r="AF20" i="84"/>
  <c r="AE20" i="84"/>
  <c r="Q66" i="84"/>
  <c r="P66" i="84"/>
  <c r="M36" i="84"/>
  <c r="AF30" i="84"/>
  <c r="AE30" i="84"/>
  <c r="N30" i="84"/>
  <c r="N15" i="84"/>
  <c r="AF15" i="84"/>
  <c r="AE15" i="84"/>
  <c r="M22" i="84"/>
  <c r="N46" i="84"/>
  <c r="AF46" i="84"/>
  <c r="AE46" i="84"/>
  <c r="N59" i="84"/>
  <c r="AF59" i="84"/>
  <c r="AE59" i="84"/>
  <c r="AF17" i="84"/>
  <c r="AE17" i="84"/>
  <c r="N17" i="84"/>
  <c r="AF35" i="84"/>
  <c r="AE35" i="84"/>
  <c r="N35" i="84"/>
  <c r="Q68" i="84"/>
  <c r="P68" i="84"/>
  <c r="AF29" i="84"/>
  <c r="AG23" i="84" s="1"/>
  <c r="AE29" i="84"/>
  <c r="N29" i="84"/>
  <c r="Q64" i="84"/>
  <c r="P64" i="84"/>
  <c r="N40" i="84"/>
  <c r="AF40" i="84"/>
  <c r="AE40" i="84"/>
  <c r="AF8" i="84"/>
  <c r="AG5" i="84" s="1"/>
  <c r="AE8" i="84"/>
  <c r="N8" i="84"/>
  <c r="N21" i="84"/>
  <c r="AF21" i="84"/>
  <c r="AE21" i="84"/>
  <c r="G6" i="83"/>
  <c r="F6" i="83"/>
  <c r="E6" i="83"/>
  <c r="AF33" i="84"/>
  <c r="AE33" i="84"/>
  <c r="N33" i="84"/>
  <c r="Q24" i="84"/>
  <c r="P24" i="84"/>
  <c r="N42" i="84"/>
  <c r="AF42" i="84"/>
  <c r="AE42" i="84"/>
  <c r="N62" i="84"/>
  <c r="AF62" i="84"/>
  <c r="AE62" i="84"/>
  <c r="AF38" i="84"/>
  <c r="AE38" i="84"/>
  <c r="N38" i="84"/>
  <c r="N45" i="84"/>
  <c r="M49" i="84"/>
  <c r="AF45" i="84"/>
  <c r="AE45" i="84"/>
  <c r="N47" i="84"/>
  <c r="AF47" i="84"/>
  <c r="AE47" i="84"/>
  <c r="N60" i="84"/>
  <c r="AF60" i="84"/>
  <c r="AE60" i="84"/>
  <c r="N18" i="84"/>
  <c r="AF18" i="84"/>
  <c r="AE18" i="84"/>
  <c r="F2" i="84"/>
  <c r="I3" i="83"/>
  <c r="N58" i="84"/>
  <c r="AF58" i="84"/>
  <c r="M63" i="84"/>
  <c r="AE58" i="84"/>
  <c r="M14" i="84"/>
  <c r="AF9" i="84"/>
  <c r="AE9" i="84"/>
  <c r="N9" i="84"/>
  <c r="N41" i="84"/>
  <c r="AF41" i="84"/>
  <c r="AE41" i="84"/>
  <c r="N43" i="84"/>
  <c r="AF43" i="84"/>
  <c r="AE43" i="84"/>
  <c r="N37" i="84"/>
  <c r="AF37" i="84"/>
  <c r="M44" i="84"/>
  <c r="AE37" i="84"/>
  <c r="N39" i="84"/>
  <c r="AF39" i="84"/>
  <c r="AE39" i="84"/>
  <c r="N48" i="84"/>
  <c r="AF48" i="84"/>
  <c r="AE48" i="84"/>
  <c r="AF56" i="84"/>
  <c r="AE56" i="84"/>
  <c r="N56" i="84"/>
  <c r="N61" i="84"/>
  <c r="AF61" i="84"/>
  <c r="AE61" i="84"/>
  <c r="N65" i="84"/>
  <c r="M70" i="84"/>
  <c r="AF65" i="84"/>
  <c r="AE65" i="84"/>
  <c r="AE68" i="84"/>
  <c r="N7" i="84"/>
  <c r="N10" i="84"/>
  <c r="N12" i="84"/>
  <c r="N28" i="84"/>
  <c r="N31" i="84"/>
  <c r="N54" i="84"/>
  <c r="N5" i="84"/>
  <c r="N6" i="84"/>
  <c r="P11" i="84"/>
  <c r="P13" i="84"/>
  <c r="P16" i="84"/>
  <c r="N27" i="84"/>
  <c r="P32" i="84"/>
  <c r="P34" i="84"/>
  <c r="N53" i="84"/>
  <c r="P55" i="84"/>
  <c r="N26" i="84"/>
  <c r="N52" i="84"/>
  <c r="N25" i="84"/>
  <c r="N50" i="84"/>
  <c r="N51" i="84"/>
  <c r="N67" i="84"/>
  <c r="N69" i="84"/>
  <c r="N23" i="84"/>
  <c r="D21" i="83"/>
  <c r="AE13" i="84"/>
  <c r="AE16" i="84"/>
  <c r="AE32" i="84"/>
  <c r="AE34" i="84"/>
  <c r="AE55" i="84"/>
  <c r="AE7" i="84"/>
  <c r="AE10" i="84"/>
  <c r="AE12" i="84"/>
  <c r="AE28" i="84"/>
  <c r="AE31" i="84"/>
  <c r="AE54" i="84"/>
  <c r="AE5" i="84"/>
  <c r="AE6" i="84"/>
  <c r="AE11" i="84"/>
  <c r="AE27" i="84"/>
  <c r="AE53" i="84"/>
  <c r="M57" i="84"/>
  <c r="Z2" i="84"/>
  <c r="L6" i="83" s="1"/>
  <c r="AF5" i="84"/>
  <c r="AE26" i="84"/>
  <c r="AE52" i="84"/>
  <c r="AD75" i="82"/>
  <c r="Z75" i="82"/>
  <c r="M19" i="81" s="1"/>
  <c r="Y75" i="82"/>
  <c r="O75" i="82"/>
  <c r="K75" i="82"/>
  <c r="AF74" i="82"/>
  <c r="V74" i="82"/>
  <c r="U74" i="82"/>
  <c r="O74" i="82"/>
  <c r="M74" i="82"/>
  <c r="AE74" i="82" s="1"/>
  <c r="K74" i="82"/>
  <c r="G74" i="82"/>
  <c r="AF73" i="82"/>
  <c r="AE73" i="82"/>
  <c r="V73" i="82"/>
  <c r="U73" i="82"/>
  <c r="O73" i="82"/>
  <c r="M73" i="82"/>
  <c r="N73" i="82" s="1"/>
  <c r="K73" i="82"/>
  <c r="G73" i="82"/>
  <c r="AF72" i="82"/>
  <c r="AE72" i="82"/>
  <c r="X72" i="82"/>
  <c r="W72" i="82"/>
  <c r="V72" i="82"/>
  <c r="U72" i="82"/>
  <c r="O72" i="82"/>
  <c r="M72" i="82"/>
  <c r="N72" i="82" s="1"/>
  <c r="K72" i="82"/>
  <c r="G72" i="82"/>
  <c r="AF71" i="82"/>
  <c r="AE71" i="82"/>
  <c r="V71" i="82"/>
  <c r="U71" i="82"/>
  <c r="O71" i="82"/>
  <c r="M71" i="82"/>
  <c r="N71" i="82" s="1"/>
  <c r="K71" i="82"/>
  <c r="G71" i="82"/>
  <c r="AF70" i="82"/>
  <c r="V70" i="82"/>
  <c r="M70" i="82" s="1"/>
  <c r="N70" i="82" s="1"/>
  <c r="U70" i="82"/>
  <c r="O70" i="82"/>
  <c r="K70" i="82"/>
  <c r="G70" i="82"/>
  <c r="V69" i="82"/>
  <c r="M69" i="82" s="1"/>
  <c r="AE69" i="82" s="1"/>
  <c r="U69" i="82"/>
  <c r="O69" i="82"/>
  <c r="K69" i="82"/>
  <c r="G69" i="82"/>
  <c r="AF68" i="82"/>
  <c r="AE68" i="82"/>
  <c r="X68" i="82"/>
  <c r="W68" i="82"/>
  <c r="V68" i="82"/>
  <c r="O68" i="82"/>
  <c r="M68" i="82"/>
  <c r="N68" i="82" s="1"/>
  <c r="K68" i="82"/>
  <c r="G68" i="82"/>
  <c r="AD67" i="82"/>
  <c r="J21" i="81" s="1"/>
  <c r="Z67" i="82"/>
  <c r="Y67" i="82"/>
  <c r="O67" i="82"/>
  <c r="K67" i="82"/>
  <c r="AE66" i="82"/>
  <c r="V66" i="82"/>
  <c r="M66" i="82" s="1"/>
  <c r="U66" i="82"/>
  <c r="O66" i="82"/>
  <c r="K66" i="82"/>
  <c r="G66" i="82"/>
  <c r="V65" i="82"/>
  <c r="M65" i="82" s="1"/>
  <c r="U65" i="82"/>
  <c r="O65" i="82"/>
  <c r="K65" i="82"/>
  <c r="G65" i="82"/>
  <c r="V64" i="82"/>
  <c r="M64" i="82" s="1"/>
  <c r="U64" i="82"/>
  <c r="O64" i="82"/>
  <c r="K64" i="82"/>
  <c r="G64" i="82"/>
  <c r="V63" i="82"/>
  <c r="M63" i="82" s="1"/>
  <c r="U63" i="82"/>
  <c r="O63" i="82"/>
  <c r="K63" i="82"/>
  <c r="G63" i="82"/>
  <c r="V62" i="82"/>
  <c r="M62" i="82" s="1"/>
  <c r="O62" i="82"/>
  <c r="K62" i="82"/>
  <c r="G62" i="82"/>
  <c r="AD61" i="82"/>
  <c r="Z61" i="82"/>
  <c r="Y61" i="82"/>
  <c r="I18" i="81" s="1"/>
  <c r="O61" i="82"/>
  <c r="K61" i="82"/>
  <c r="V60" i="82"/>
  <c r="U60" i="82"/>
  <c r="O60" i="82"/>
  <c r="M60" i="82"/>
  <c r="K60" i="82"/>
  <c r="G60" i="82"/>
  <c r="V59" i="82"/>
  <c r="U59" i="82"/>
  <c r="O59" i="82"/>
  <c r="M59" i="82"/>
  <c r="K59" i="82"/>
  <c r="G59" i="82"/>
  <c r="V58" i="82"/>
  <c r="U58" i="82"/>
  <c r="O58" i="82"/>
  <c r="M58" i="82"/>
  <c r="K58" i="82"/>
  <c r="G58" i="82"/>
  <c r="V57" i="82"/>
  <c r="U57" i="82"/>
  <c r="O57" i="82"/>
  <c r="M57" i="82"/>
  <c r="AF57" i="82" s="1"/>
  <c r="K57" i="82"/>
  <c r="G57" i="82"/>
  <c r="AF56" i="82"/>
  <c r="V56" i="82"/>
  <c r="U56" i="82"/>
  <c r="O56" i="82"/>
  <c r="M56" i="82"/>
  <c r="AE56" i="82" s="1"/>
  <c r="K56" i="82"/>
  <c r="G56" i="82"/>
  <c r="AF55" i="82"/>
  <c r="AE55" i="82"/>
  <c r="V55" i="82"/>
  <c r="U55" i="82"/>
  <c r="O55" i="82"/>
  <c r="M55" i="82"/>
  <c r="N55" i="82" s="1"/>
  <c r="K55" i="82"/>
  <c r="G55" i="82"/>
  <c r="AF54" i="82"/>
  <c r="AE54" i="82"/>
  <c r="V54" i="82"/>
  <c r="O54" i="82"/>
  <c r="M54" i="82"/>
  <c r="K54" i="82"/>
  <c r="G54" i="82"/>
  <c r="AD53" i="82"/>
  <c r="Z53" i="82"/>
  <c r="Y53" i="82"/>
  <c r="O53" i="82"/>
  <c r="K53" i="82"/>
  <c r="AE52" i="82"/>
  <c r="V52" i="82"/>
  <c r="M52" i="82" s="1"/>
  <c r="U52" i="82"/>
  <c r="O52" i="82"/>
  <c r="K52" i="82"/>
  <c r="G52" i="82"/>
  <c r="V51" i="82"/>
  <c r="M51" i="82" s="1"/>
  <c r="U51" i="82"/>
  <c r="O51" i="82"/>
  <c r="K51" i="82"/>
  <c r="G51" i="82"/>
  <c r="V50" i="82"/>
  <c r="M50" i="82" s="1"/>
  <c r="U50" i="82"/>
  <c r="O50" i="82"/>
  <c r="K50" i="82"/>
  <c r="G50" i="82"/>
  <c r="X49" i="82"/>
  <c r="W49" i="82"/>
  <c r="V49" i="82"/>
  <c r="M49" i="82" s="1"/>
  <c r="O49" i="82"/>
  <c r="K49" i="82"/>
  <c r="G49" i="82"/>
  <c r="AD48" i="82"/>
  <c r="L21" i="81" s="1"/>
  <c r="Z48" i="82"/>
  <c r="L19" i="81" s="1"/>
  <c r="Y48" i="82"/>
  <c r="L18" i="81" s="1"/>
  <c r="O48" i="82"/>
  <c r="K48" i="82"/>
  <c r="V47" i="82"/>
  <c r="M47" i="82" s="1"/>
  <c r="U47" i="82"/>
  <c r="O47" i="82"/>
  <c r="K47" i="82"/>
  <c r="G47" i="82"/>
  <c r="V46" i="82"/>
  <c r="M46" i="82" s="1"/>
  <c r="U46" i="82"/>
  <c r="O46" i="82"/>
  <c r="K46" i="82"/>
  <c r="G46" i="82"/>
  <c r="V45" i="82"/>
  <c r="M45" i="82" s="1"/>
  <c r="U45" i="82"/>
  <c r="Q45" i="82"/>
  <c r="P45" i="82"/>
  <c r="O45" i="82"/>
  <c r="N45" i="82"/>
  <c r="K45" i="82"/>
  <c r="G45" i="82"/>
  <c r="X44" i="82"/>
  <c r="W44" i="82"/>
  <c r="V44" i="82"/>
  <c r="M44" i="82" s="1"/>
  <c r="U44" i="82"/>
  <c r="O44" i="82"/>
  <c r="K44" i="82"/>
  <c r="G44" i="82"/>
  <c r="V43" i="82"/>
  <c r="M43" i="82" s="1"/>
  <c r="U43" i="82"/>
  <c r="O43" i="82"/>
  <c r="K43" i="82"/>
  <c r="G43" i="82"/>
  <c r="V42" i="82"/>
  <c r="U42" i="82"/>
  <c r="O42" i="82"/>
  <c r="M42" i="82"/>
  <c r="N42" i="82" s="1"/>
  <c r="K42" i="82"/>
  <c r="G42" i="82"/>
  <c r="V41" i="82"/>
  <c r="U41" i="82"/>
  <c r="O41" i="82"/>
  <c r="N41" i="82"/>
  <c r="M41" i="82"/>
  <c r="K41" i="82"/>
  <c r="G41" i="82"/>
  <c r="X40" i="82"/>
  <c r="W40" i="82"/>
  <c r="V40" i="82"/>
  <c r="M40" i="82" s="1"/>
  <c r="O40" i="82"/>
  <c r="K40" i="82"/>
  <c r="G40" i="82"/>
  <c r="AD39" i="82"/>
  <c r="Z39" i="82"/>
  <c r="Y39" i="82"/>
  <c r="K18" i="81" s="1"/>
  <c r="O39" i="82"/>
  <c r="K39" i="82"/>
  <c r="V38" i="82"/>
  <c r="U38" i="82"/>
  <c r="O38" i="82"/>
  <c r="M38" i="82"/>
  <c r="K38" i="82"/>
  <c r="G38" i="82"/>
  <c r="V37" i="82"/>
  <c r="U37" i="82"/>
  <c r="O37" i="82"/>
  <c r="N37" i="82"/>
  <c r="M37" i="82"/>
  <c r="K37" i="82"/>
  <c r="G37" i="82"/>
  <c r="V36" i="82"/>
  <c r="U36" i="82"/>
  <c r="O36" i="82"/>
  <c r="M36" i="82"/>
  <c r="K36" i="82"/>
  <c r="G36" i="82"/>
  <c r="AF35" i="82"/>
  <c r="X35" i="82"/>
  <c r="W35" i="82"/>
  <c r="V35" i="82"/>
  <c r="U35" i="82"/>
  <c r="O35" i="82"/>
  <c r="N35" i="82"/>
  <c r="M35" i="82"/>
  <c r="AE35" i="82" s="1"/>
  <c r="K35" i="82"/>
  <c r="G35" i="82"/>
  <c r="V34" i="82"/>
  <c r="U34" i="82"/>
  <c r="O34" i="82"/>
  <c r="M34" i="82"/>
  <c r="K34" i="82"/>
  <c r="G34" i="82"/>
  <c r="AF33" i="82"/>
  <c r="V33" i="82"/>
  <c r="U33" i="82"/>
  <c r="O33" i="82"/>
  <c r="M33" i="82"/>
  <c r="AE33" i="82" s="1"/>
  <c r="K33" i="82"/>
  <c r="G33" i="82"/>
  <c r="X32" i="82"/>
  <c r="W32" i="82"/>
  <c r="V32" i="82"/>
  <c r="O32" i="82"/>
  <c r="M32" i="82"/>
  <c r="AF32" i="82" s="1"/>
  <c r="K32" i="82"/>
  <c r="G32" i="82"/>
  <c r="AD31" i="82"/>
  <c r="Z31" i="82"/>
  <c r="G19" i="81" s="1"/>
  <c r="Y31" i="82"/>
  <c r="O31" i="82"/>
  <c r="K31" i="82"/>
  <c r="G13" i="81" s="1"/>
  <c r="AF30" i="82"/>
  <c r="V30" i="82"/>
  <c r="U30" i="82"/>
  <c r="O30" i="82"/>
  <c r="M30" i="82"/>
  <c r="AE30" i="82" s="1"/>
  <c r="K30" i="82"/>
  <c r="G30" i="82"/>
  <c r="AF29" i="82"/>
  <c r="AE29" i="82"/>
  <c r="V29" i="82"/>
  <c r="U29" i="82"/>
  <c r="O29" i="82"/>
  <c r="M29" i="82"/>
  <c r="N29" i="82" s="1"/>
  <c r="K29" i="82"/>
  <c r="G29" i="82"/>
  <c r="V28" i="82"/>
  <c r="M28" i="82" s="1"/>
  <c r="N28" i="82" s="1"/>
  <c r="U28" i="82"/>
  <c r="O28" i="82"/>
  <c r="K28" i="82"/>
  <c r="G28" i="82"/>
  <c r="AF27" i="82"/>
  <c r="V27" i="82"/>
  <c r="M27" i="82" s="1"/>
  <c r="N27" i="82" s="1"/>
  <c r="U27" i="82"/>
  <c r="O27" i="82"/>
  <c r="K27" i="82"/>
  <c r="G27" i="82"/>
  <c r="V26" i="82"/>
  <c r="M26" i="82" s="1"/>
  <c r="M31" i="82" s="1"/>
  <c r="U26" i="82"/>
  <c r="O26" i="82"/>
  <c r="K26" i="82"/>
  <c r="G26" i="82"/>
  <c r="V25" i="82"/>
  <c r="M25" i="82" s="1"/>
  <c r="U25" i="82"/>
  <c r="O25" i="82"/>
  <c r="K25" i="82"/>
  <c r="G25" i="82"/>
  <c r="V24" i="82"/>
  <c r="M24" i="82" s="1"/>
  <c r="O24" i="82"/>
  <c r="K24" i="82"/>
  <c r="G24" i="82"/>
  <c r="AD23" i="82"/>
  <c r="Z23" i="82"/>
  <c r="F19" i="81" s="1"/>
  <c r="Y23" i="82"/>
  <c r="F18" i="81" s="1"/>
  <c r="O23" i="82"/>
  <c r="K23" i="82"/>
  <c r="V22" i="82"/>
  <c r="M22" i="82" s="1"/>
  <c r="U22" i="82"/>
  <c r="O22" i="82"/>
  <c r="N22" i="82"/>
  <c r="Q22" i="82" s="1"/>
  <c r="K22" i="82"/>
  <c r="G22" i="82"/>
  <c r="V21" i="82"/>
  <c r="U21" i="82"/>
  <c r="O21" i="82"/>
  <c r="M21" i="82"/>
  <c r="K21" i="82"/>
  <c r="G21" i="82"/>
  <c r="V20" i="82"/>
  <c r="U20" i="82"/>
  <c r="O20" i="82"/>
  <c r="M20" i="82"/>
  <c r="K20" i="82"/>
  <c r="G20" i="82"/>
  <c r="V19" i="82"/>
  <c r="U19" i="82"/>
  <c r="O19" i="82"/>
  <c r="M19" i="82"/>
  <c r="K19" i="82"/>
  <c r="G19" i="82"/>
  <c r="X18" i="82"/>
  <c r="W18" i="82"/>
  <c r="V18" i="82"/>
  <c r="U18" i="82"/>
  <c r="O18" i="82"/>
  <c r="M18" i="82"/>
  <c r="N18" i="82" s="1"/>
  <c r="K18" i="82"/>
  <c r="G18" i="82"/>
  <c r="V17" i="82"/>
  <c r="U17" i="82"/>
  <c r="O17" i="82"/>
  <c r="M17" i="82"/>
  <c r="K17" i="82"/>
  <c r="G17" i="82"/>
  <c r="V16" i="82"/>
  <c r="U16" i="82"/>
  <c r="O16" i="82"/>
  <c r="M16" i="82"/>
  <c r="K16" i="82"/>
  <c r="G16" i="82"/>
  <c r="X15" i="82"/>
  <c r="W15" i="82"/>
  <c r="V15" i="82"/>
  <c r="O15" i="82"/>
  <c r="N15" i="82"/>
  <c r="M15" i="82"/>
  <c r="K15" i="82"/>
  <c r="G15" i="82"/>
  <c r="AD14" i="82"/>
  <c r="E21" i="81" s="1"/>
  <c r="Z14" i="82"/>
  <c r="Y14" i="82"/>
  <c r="O14" i="82"/>
  <c r="K14" i="82"/>
  <c r="V13" i="82"/>
  <c r="U13" i="82"/>
  <c r="O13" i="82"/>
  <c r="M13" i="82"/>
  <c r="K13" i="82"/>
  <c r="G13" i="82"/>
  <c r="AF12" i="82"/>
  <c r="V12" i="82"/>
  <c r="U12" i="82"/>
  <c r="O12" i="82"/>
  <c r="M12" i="82"/>
  <c r="AE12" i="82" s="1"/>
  <c r="K12" i="82"/>
  <c r="G12" i="82"/>
  <c r="AF11" i="82"/>
  <c r="AE11" i="82"/>
  <c r="X11" i="82"/>
  <c r="W11" i="82"/>
  <c r="V11" i="82"/>
  <c r="U11" i="82"/>
  <c r="O11" i="82"/>
  <c r="M11" i="82"/>
  <c r="N11" i="82" s="1"/>
  <c r="K11" i="82"/>
  <c r="G11" i="82"/>
  <c r="AF10" i="82"/>
  <c r="V10" i="82"/>
  <c r="U10" i="82"/>
  <c r="O10" i="82"/>
  <c r="M10" i="82"/>
  <c r="AE10" i="82" s="1"/>
  <c r="K10" i="82"/>
  <c r="G10" i="82"/>
  <c r="X9" i="82"/>
  <c r="W9" i="82"/>
  <c r="V9" i="82"/>
  <c r="O9" i="82"/>
  <c r="M9" i="82"/>
  <c r="AE9" i="82" s="1"/>
  <c r="K9" i="82"/>
  <c r="G9" i="82"/>
  <c r="AD8" i="82"/>
  <c r="Z8" i="82"/>
  <c r="Y8" i="82"/>
  <c r="D18" i="81" s="1"/>
  <c r="O8" i="82"/>
  <c r="M8" i="82"/>
  <c r="K8" i="82"/>
  <c r="AF7" i="82"/>
  <c r="V7" i="82"/>
  <c r="U7" i="82"/>
  <c r="O7" i="82"/>
  <c r="M7" i="82"/>
  <c r="AE7" i="82" s="1"/>
  <c r="K7" i="82"/>
  <c r="G7" i="82"/>
  <c r="AF6" i="82"/>
  <c r="AE6" i="82"/>
  <c r="V6" i="82"/>
  <c r="U6" i="82"/>
  <c r="O6" i="82"/>
  <c r="M6" i="82"/>
  <c r="N6" i="82" s="1"/>
  <c r="K6" i="82"/>
  <c r="G6" i="82"/>
  <c r="AF5" i="82"/>
  <c r="AE5" i="82"/>
  <c r="V5" i="82"/>
  <c r="O5" i="82"/>
  <c r="M5" i="82"/>
  <c r="N5" i="82" s="1"/>
  <c r="K5" i="82"/>
  <c r="G5" i="82"/>
  <c r="AD2" i="82"/>
  <c r="N6" i="81" s="1"/>
  <c r="Y2" i="82"/>
  <c r="K6" i="81" s="1"/>
  <c r="H2" i="82"/>
  <c r="H1" i="82"/>
  <c r="D1" i="82"/>
  <c r="M22" i="81"/>
  <c r="L22" i="81"/>
  <c r="K22" i="81"/>
  <c r="J22" i="81"/>
  <c r="I22" i="81"/>
  <c r="H22" i="81"/>
  <c r="G22" i="81"/>
  <c r="F22" i="81"/>
  <c r="E22" i="81"/>
  <c r="D22" i="81"/>
  <c r="M21" i="81"/>
  <c r="K21" i="81"/>
  <c r="I21" i="81"/>
  <c r="H21" i="81"/>
  <c r="G21" i="81"/>
  <c r="F21" i="81"/>
  <c r="D21" i="81"/>
  <c r="M20" i="81"/>
  <c r="L20" i="81"/>
  <c r="K20" i="81"/>
  <c r="J20" i="81"/>
  <c r="I20" i="81"/>
  <c r="H20" i="81"/>
  <c r="G20" i="81"/>
  <c r="F20" i="81"/>
  <c r="E20" i="81"/>
  <c r="D20" i="81"/>
  <c r="K19" i="81"/>
  <c r="J19" i="81"/>
  <c r="I19" i="81"/>
  <c r="H19" i="81"/>
  <c r="E19" i="81"/>
  <c r="D19" i="81"/>
  <c r="M18" i="81"/>
  <c r="J18" i="81"/>
  <c r="H18" i="81"/>
  <c r="G18" i="81"/>
  <c r="E18" i="81"/>
  <c r="M17" i="81"/>
  <c r="L17" i="81"/>
  <c r="K17" i="81"/>
  <c r="J17" i="81"/>
  <c r="I17" i="81"/>
  <c r="H17" i="81"/>
  <c r="G17" i="81"/>
  <c r="F17" i="81"/>
  <c r="E17" i="81"/>
  <c r="D17" i="81"/>
  <c r="M16" i="81"/>
  <c r="L16" i="81"/>
  <c r="K16" i="81"/>
  <c r="J16" i="81"/>
  <c r="I16" i="81"/>
  <c r="H16" i="81"/>
  <c r="G16" i="81"/>
  <c r="F16" i="81"/>
  <c r="E16" i="81"/>
  <c r="D16" i="81"/>
  <c r="M13" i="81"/>
  <c r="L13" i="81"/>
  <c r="K13" i="81"/>
  <c r="I6" i="81" s="1"/>
  <c r="J13" i="81"/>
  <c r="I13" i="81"/>
  <c r="H13" i="81"/>
  <c r="G6" i="81" s="1"/>
  <c r="F13" i="81"/>
  <c r="E13" i="81"/>
  <c r="D13" i="81"/>
  <c r="M6" i="81"/>
  <c r="F3" i="81"/>
  <c r="C3" i="81"/>
  <c r="F7" i="87" l="1"/>
  <c r="G7" i="87"/>
  <c r="E7" i="87"/>
  <c r="G8" i="87"/>
  <c r="F8" i="87"/>
  <c r="K15" i="87"/>
  <c r="I8" i="87" s="1"/>
  <c r="I7" i="87"/>
  <c r="Q43" i="86"/>
  <c r="R36" i="86" s="1"/>
  <c r="P43" i="86"/>
  <c r="L14" i="85"/>
  <c r="L15" i="85" s="1"/>
  <c r="Q35" i="86"/>
  <c r="R29" i="86" s="1"/>
  <c r="P35" i="86"/>
  <c r="K14" i="85"/>
  <c r="Q21" i="86"/>
  <c r="R14" i="86" s="1"/>
  <c r="P21" i="86"/>
  <c r="F14" i="85"/>
  <c r="F15" i="85" s="1"/>
  <c r="G14" i="85"/>
  <c r="G15" i="85" s="1"/>
  <c r="Q28" i="86"/>
  <c r="R22" i="86" s="1"/>
  <c r="P28" i="86"/>
  <c r="E14" i="85"/>
  <c r="E15" i="85" s="1"/>
  <c r="P13" i="86"/>
  <c r="Q13" i="86"/>
  <c r="R9" i="86" s="1"/>
  <c r="Q56" i="86"/>
  <c r="R49" i="86" s="1"/>
  <c r="I14" i="85"/>
  <c r="I15" i="85" s="1"/>
  <c r="P56" i="86"/>
  <c r="D15" i="85"/>
  <c r="G7" i="85"/>
  <c r="Q62" i="86"/>
  <c r="R57" i="86" s="1"/>
  <c r="P62" i="86"/>
  <c r="J14" i="85"/>
  <c r="J15" i="85" s="1"/>
  <c r="P69" i="86"/>
  <c r="M14" i="85"/>
  <c r="M15" i="85" s="1"/>
  <c r="Q69" i="86"/>
  <c r="R63" i="86" s="1"/>
  <c r="D2" i="86"/>
  <c r="Q48" i="86"/>
  <c r="R44" i="86" s="1"/>
  <c r="P48" i="86"/>
  <c r="H14" i="85"/>
  <c r="H15" i="85" s="1"/>
  <c r="Q51" i="84"/>
  <c r="P51" i="84"/>
  <c r="AF70" i="84"/>
  <c r="AG64" i="84" s="1"/>
  <c r="AE70" i="84"/>
  <c r="N70" i="84"/>
  <c r="Q9" i="84"/>
  <c r="P9" i="84"/>
  <c r="Q18" i="84"/>
  <c r="P18" i="84"/>
  <c r="Q40" i="84"/>
  <c r="P40" i="84"/>
  <c r="Q30" i="84"/>
  <c r="P30" i="84"/>
  <c r="Q50" i="84"/>
  <c r="P50" i="84"/>
  <c r="Q39" i="84"/>
  <c r="P39" i="84"/>
  <c r="Q25" i="84"/>
  <c r="P25" i="84"/>
  <c r="Q5" i="84"/>
  <c r="P5" i="84"/>
  <c r="N57" i="84"/>
  <c r="AF57" i="84"/>
  <c r="AG50" i="84" s="1"/>
  <c r="AE57" i="84"/>
  <c r="Q54" i="84"/>
  <c r="P54" i="84"/>
  <c r="N44" i="84"/>
  <c r="AF44" i="84"/>
  <c r="AG37" i="84" s="1"/>
  <c r="AE44" i="84"/>
  <c r="N14" i="84"/>
  <c r="D2" i="84" s="1"/>
  <c r="AF14" i="84"/>
  <c r="AG9" i="84" s="1"/>
  <c r="AE14" i="84"/>
  <c r="P60" i="84"/>
  <c r="Q60" i="84"/>
  <c r="Q29" i="84"/>
  <c r="R23" i="84" s="1"/>
  <c r="P29" i="84"/>
  <c r="G14" i="83"/>
  <c r="G15" i="83" s="1"/>
  <c r="N36" i="84"/>
  <c r="AF36" i="84"/>
  <c r="AG30" i="84" s="1"/>
  <c r="AE36" i="84"/>
  <c r="Q65" i="84"/>
  <c r="P65" i="84"/>
  <c r="Q52" i="84"/>
  <c r="P52" i="84"/>
  <c r="Q26" i="84"/>
  <c r="P26" i="84"/>
  <c r="Q61" i="84"/>
  <c r="P61" i="84"/>
  <c r="Q62" i="84"/>
  <c r="P62" i="84"/>
  <c r="Q59" i="84"/>
  <c r="P59" i="84"/>
  <c r="N63" i="84"/>
  <c r="AF63" i="84"/>
  <c r="AG58" i="84" s="1"/>
  <c r="AE63" i="84"/>
  <c r="Q12" i="84"/>
  <c r="P12" i="84"/>
  <c r="Q37" i="84"/>
  <c r="P37" i="84"/>
  <c r="Q58" i="84"/>
  <c r="P58" i="84"/>
  <c r="Q42" i="84"/>
  <c r="P42" i="84"/>
  <c r="Q8" i="84"/>
  <c r="R5" i="84" s="1"/>
  <c r="P8" i="84"/>
  <c r="D14" i="83"/>
  <c r="N22" i="84"/>
  <c r="AF22" i="84"/>
  <c r="AG15" i="84" s="1"/>
  <c r="AE22" i="84"/>
  <c r="Q23" i="84"/>
  <c r="P23" i="84"/>
  <c r="Q27" i="84"/>
  <c r="P27" i="84"/>
  <c r="N49" i="84"/>
  <c r="AF49" i="84"/>
  <c r="AG45" i="84" s="1"/>
  <c r="AE49" i="84"/>
  <c r="Q7" i="84"/>
  <c r="P7" i="84"/>
  <c r="P43" i="84"/>
  <c r="Q43" i="84"/>
  <c r="Q35" i="84"/>
  <c r="P35" i="84"/>
  <c r="Q69" i="84"/>
  <c r="P69" i="84"/>
  <c r="Q48" i="84"/>
  <c r="P48" i="84"/>
  <c r="Q45" i="84"/>
  <c r="P45" i="84"/>
  <c r="Q33" i="84"/>
  <c r="P33" i="84"/>
  <c r="Q6" i="84"/>
  <c r="P6" i="84"/>
  <c r="Q31" i="84"/>
  <c r="P31" i="84"/>
  <c r="Q28" i="84"/>
  <c r="P28" i="84"/>
  <c r="Q56" i="84"/>
  <c r="P56" i="84"/>
  <c r="Q53" i="84"/>
  <c r="P53" i="84"/>
  <c r="Q47" i="84"/>
  <c r="P47" i="84"/>
  <c r="Q21" i="84"/>
  <c r="P21" i="84"/>
  <c r="Q10" i="84"/>
  <c r="P10" i="84"/>
  <c r="P46" i="84"/>
  <c r="Q46" i="84"/>
  <c r="P20" i="84"/>
  <c r="Q20" i="84"/>
  <c r="Q67" i="84"/>
  <c r="P67" i="84"/>
  <c r="P41" i="84"/>
  <c r="Q41" i="84"/>
  <c r="Q38" i="84"/>
  <c r="P38" i="84"/>
  <c r="Q17" i="84"/>
  <c r="P17" i="84"/>
  <c r="Q15" i="84"/>
  <c r="P15" i="84"/>
  <c r="Q19" i="84"/>
  <c r="P19" i="84"/>
  <c r="Q42" i="82"/>
  <c r="P42" i="82"/>
  <c r="Q18" i="82"/>
  <c r="P18" i="82"/>
  <c r="AF31" i="82"/>
  <c r="AG24" i="82" s="1"/>
  <c r="AE31" i="82"/>
  <c r="N31" i="82"/>
  <c r="AF59" i="82"/>
  <c r="AE59" i="82"/>
  <c r="N62" i="82"/>
  <c r="AF62" i="82"/>
  <c r="M67" i="82"/>
  <c r="AE62" i="82"/>
  <c r="Q68" i="82"/>
  <c r="P68" i="82"/>
  <c r="AF13" i="82"/>
  <c r="AE13" i="82"/>
  <c r="N13" i="82"/>
  <c r="AF43" i="82"/>
  <c r="AE43" i="82"/>
  <c r="N46" i="82"/>
  <c r="AF46" i="82"/>
  <c r="AE46" i="82"/>
  <c r="M61" i="82"/>
  <c r="N59" i="82"/>
  <c r="N66" i="82"/>
  <c r="AF66" i="82"/>
  <c r="E6" i="81"/>
  <c r="F6" i="81"/>
  <c r="AF16" i="82"/>
  <c r="AE16" i="82"/>
  <c r="N16" i="82"/>
  <c r="AF21" i="82"/>
  <c r="AE21" i="82"/>
  <c r="Q37" i="82"/>
  <c r="P37" i="82"/>
  <c r="N69" i="82"/>
  <c r="AF69" i="82"/>
  <c r="AF18" i="82"/>
  <c r="AE18" i="82"/>
  <c r="N21" i="82"/>
  <c r="AF22" i="82"/>
  <c r="AE22" i="82"/>
  <c r="AF34" i="82"/>
  <c r="AE34" i="82"/>
  <c r="N34" i="82"/>
  <c r="AF40" i="82"/>
  <c r="AE40" i="82"/>
  <c r="M48" i="82"/>
  <c r="AF42" i="82"/>
  <c r="AE42" i="82"/>
  <c r="AF15" i="82"/>
  <c r="AE15" i="82"/>
  <c r="M23" i="82"/>
  <c r="N24" i="82"/>
  <c r="AF24" i="82"/>
  <c r="AE24" i="82"/>
  <c r="N52" i="82"/>
  <c r="AF52" i="82"/>
  <c r="N64" i="82"/>
  <c r="AF64" i="82"/>
  <c r="AE64" i="82"/>
  <c r="Q15" i="82"/>
  <c r="P15" i="82"/>
  <c r="N26" i="82"/>
  <c r="AF26" i="82"/>
  <c r="N50" i="82"/>
  <c r="AF50" i="82"/>
  <c r="AE50" i="82"/>
  <c r="N9" i="82"/>
  <c r="AF20" i="82"/>
  <c r="AE20" i="82"/>
  <c r="AE26" i="82"/>
  <c r="Q28" i="82"/>
  <c r="P28" i="82"/>
  <c r="AF36" i="82"/>
  <c r="AE36" i="82"/>
  <c r="N36" i="82"/>
  <c r="Q73" i="82"/>
  <c r="P73" i="82"/>
  <c r="Z2" i="82"/>
  <c r="L6" i="81" s="1"/>
  <c r="Q6" i="82"/>
  <c r="P6" i="82"/>
  <c r="AF17" i="82"/>
  <c r="AE17" i="82"/>
  <c r="N20" i="82"/>
  <c r="AE28" i="82"/>
  <c r="AF38" i="82"/>
  <c r="AE38" i="82"/>
  <c r="AF41" i="82"/>
  <c r="AE41" i="82"/>
  <c r="Q70" i="82"/>
  <c r="P70" i="82"/>
  <c r="M14" i="82"/>
  <c r="N17" i="82"/>
  <c r="AF28" i="82"/>
  <c r="N38" i="82"/>
  <c r="Q41" i="82"/>
  <c r="P41" i="82"/>
  <c r="AF45" i="82"/>
  <c r="AE45" i="82"/>
  <c r="N49" i="82"/>
  <c r="M53" i="82"/>
  <c r="AF49" i="82"/>
  <c r="AE49" i="82"/>
  <c r="AF58" i="82"/>
  <c r="AE58" i="82"/>
  <c r="N58" i="82"/>
  <c r="AE70" i="82"/>
  <c r="Q72" i="82"/>
  <c r="P72" i="82"/>
  <c r="M75" i="82"/>
  <c r="F1" i="82"/>
  <c r="AF8" i="82"/>
  <c r="AG5" i="82" s="1"/>
  <c r="AE8" i="82"/>
  <c r="M39" i="82"/>
  <c r="AE32" i="82"/>
  <c r="Q35" i="82"/>
  <c r="P35" i="82"/>
  <c r="AF60" i="82"/>
  <c r="AE60" i="82"/>
  <c r="N63" i="82"/>
  <c r="AF63" i="82"/>
  <c r="AE63" i="82"/>
  <c r="N8" i="82"/>
  <c r="Q11" i="82"/>
  <c r="P11" i="82"/>
  <c r="N32" i="82"/>
  <c r="N40" i="82"/>
  <c r="N43" i="82"/>
  <c r="N44" i="82"/>
  <c r="AF44" i="82"/>
  <c r="AE44" i="82"/>
  <c r="N47" i="82"/>
  <c r="AF47" i="82"/>
  <c r="AE47" i="82"/>
  <c r="N60" i="82"/>
  <c r="N65" i="82"/>
  <c r="AF65" i="82"/>
  <c r="AE65" i="82"/>
  <c r="Q5" i="82"/>
  <c r="P5" i="82"/>
  <c r="AF9" i="82"/>
  <c r="AF19" i="82"/>
  <c r="AE19" i="82"/>
  <c r="P22" i="82"/>
  <c r="N25" i="82"/>
  <c r="AF25" i="82"/>
  <c r="AE25" i="82"/>
  <c r="Q27" i="82"/>
  <c r="P27" i="82"/>
  <c r="Q29" i="82"/>
  <c r="P29" i="82"/>
  <c r="N51" i="82"/>
  <c r="AF51" i="82"/>
  <c r="AE51" i="82"/>
  <c r="Q55" i="82"/>
  <c r="P55" i="82"/>
  <c r="N19" i="82"/>
  <c r="AE27" i="82"/>
  <c r="AF37" i="82"/>
  <c r="AE37" i="82"/>
  <c r="Q71" i="82"/>
  <c r="P71" i="82"/>
  <c r="N57" i="82"/>
  <c r="N7" i="82"/>
  <c r="N10" i="82"/>
  <c r="N12" i="82"/>
  <c r="N30" i="82"/>
  <c r="N33" i="82"/>
  <c r="N56" i="82"/>
  <c r="N74" i="82"/>
  <c r="N54" i="82"/>
  <c r="AE57" i="82"/>
  <c r="AD75" i="80"/>
  <c r="Z75" i="80"/>
  <c r="Y75" i="80"/>
  <c r="O75" i="80"/>
  <c r="K75" i="80"/>
  <c r="AF74" i="80"/>
  <c r="V74" i="80"/>
  <c r="U74" i="80"/>
  <c r="O74" i="80"/>
  <c r="M74" i="80"/>
  <c r="AE74" i="80" s="1"/>
  <c r="K74" i="80"/>
  <c r="G74" i="80"/>
  <c r="V73" i="80"/>
  <c r="U73" i="80"/>
  <c r="O73" i="80"/>
  <c r="M73" i="80"/>
  <c r="N73" i="80" s="1"/>
  <c r="K73" i="80"/>
  <c r="G73" i="80"/>
  <c r="V72" i="80"/>
  <c r="M72" i="80" s="1"/>
  <c r="N72" i="80" s="1"/>
  <c r="U72" i="80"/>
  <c r="O72" i="80"/>
  <c r="K72" i="80"/>
  <c r="G72" i="80"/>
  <c r="AF71" i="80"/>
  <c r="AE71" i="80"/>
  <c r="X71" i="80"/>
  <c r="W71" i="80"/>
  <c r="V71" i="80"/>
  <c r="U71" i="80"/>
  <c r="O71" i="80"/>
  <c r="M71" i="80"/>
  <c r="N71" i="80" s="1"/>
  <c r="K71" i="80"/>
  <c r="G71" i="80"/>
  <c r="V70" i="80"/>
  <c r="M70" i="80" s="1"/>
  <c r="N70" i="80" s="1"/>
  <c r="U70" i="80"/>
  <c r="O70" i="80"/>
  <c r="K70" i="80"/>
  <c r="G70" i="80"/>
  <c r="V69" i="80"/>
  <c r="M69" i="80" s="1"/>
  <c r="N69" i="80" s="1"/>
  <c r="U69" i="80"/>
  <c r="O69" i="80"/>
  <c r="K69" i="80"/>
  <c r="G69" i="80"/>
  <c r="V68" i="80"/>
  <c r="M68" i="80" s="1"/>
  <c r="N68" i="80" s="1"/>
  <c r="P68" i="80" s="1"/>
  <c r="U68" i="80"/>
  <c r="O68" i="80"/>
  <c r="K68" i="80"/>
  <c r="G68" i="80"/>
  <c r="X67" i="80"/>
  <c r="W67" i="80"/>
  <c r="V67" i="80"/>
  <c r="M67" i="80" s="1"/>
  <c r="N67" i="80" s="1"/>
  <c r="O67" i="80"/>
  <c r="K67" i="80"/>
  <c r="G67" i="80"/>
  <c r="AD66" i="80"/>
  <c r="Z66" i="80"/>
  <c r="J19" i="79" s="1"/>
  <c r="Y66" i="80"/>
  <c r="O66" i="80"/>
  <c r="K66" i="80"/>
  <c r="V65" i="80"/>
  <c r="M65" i="80" s="1"/>
  <c r="N65" i="80" s="1"/>
  <c r="P65" i="80" s="1"/>
  <c r="U65" i="80"/>
  <c r="O65" i="80"/>
  <c r="K65" i="80"/>
  <c r="G65" i="80"/>
  <c r="V64" i="80"/>
  <c r="M64" i="80" s="1"/>
  <c r="N64" i="80" s="1"/>
  <c r="U64" i="80"/>
  <c r="Q64" i="80"/>
  <c r="P64" i="80"/>
  <c r="O64" i="80"/>
  <c r="K64" i="80"/>
  <c r="G64" i="80"/>
  <c r="V63" i="80"/>
  <c r="M63" i="80" s="1"/>
  <c r="U63" i="80"/>
  <c r="O63" i="80"/>
  <c r="K63" i="80"/>
  <c r="G63" i="80"/>
  <c r="V62" i="80"/>
  <c r="M62" i="80" s="1"/>
  <c r="U62" i="80"/>
  <c r="O62" i="80"/>
  <c r="K62" i="80"/>
  <c r="G62" i="80"/>
  <c r="V61" i="80"/>
  <c r="M61" i="80" s="1"/>
  <c r="O61" i="80"/>
  <c r="N61" i="80"/>
  <c r="Q61" i="80" s="1"/>
  <c r="K61" i="80"/>
  <c r="G61" i="80"/>
  <c r="AD60" i="80"/>
  <c r="Z60" i="80"/>
  <c r="I19" i="79" s="1"/>
  <c r="Y60" i="80"/>
  <c r="I18" i="79" s="1"/>
  <c r="O60" i="80"/>
  <c r="K60" i="80"/>
  <c r="V59" i="80"/>
  <c r="U59" i="80"/>
  <c r="O59" i="80"/>
  <c r="M59" i="80"/>
  <c r="K59" i="80"/>
  <c r="G59" i="80"/>
  <c r="V58" i="80"/>
  <c r="U58" i="80"/>
  <c r="O58" i="80"/>
  <c r="M58" i="80"/>
  <c r="K58" i="80"/>
  <c r="G58" i="80"/>
  <c r="V57" i="80"/>
  <c r="U57" i="80"/>
  <c r="O57" i="80"/>
  <c r="M57" i="80"/>
  <c r="K57" i="80"/>
  <c r="G57" i="80"/>
  <c r="AF56" i="80"/>
  <c r="V56" i="80"/>
  <c r="U56" i="80"/>
  <c r="O56" i="80"/>
  <c r="M56" i="80"/>
  <c r="AE56" i="80" s="1"/>
  <c r="K56" i="80"/>
  <c r="G56" i="80"/>
  <c r="V55" i="80"/>
  <c r="U55" i="80"/>
  <c r="O55" i="80"/>
  <c r="M55" i="80"/>
  <c r="N55" i="80" s="1"/>
  <c r="K55" i="80"/>
  <c r="G55" i="80"/>
  <c r="V54" i="80"/>
  <c r="M54" i="80" s="1"/>
  <c r="N54" i="80" s="1"/>
  <c r="U54" i="80"/>
  <c r="O54" i="80"/>
  <c r="K54" i="80"/>
  <c r="G54" i="80"/>
  <c r="V53" i="80"/>
  <c r="M53" i="80" s="1"/>
  <c r="O53" i="80"/>
  <c r="K53" i="80"/>
  <c r="G53" i="80"/>
  <c r="AD52" i="80"/>
  <c r="Z52" i="80"/>
  <c r="Y52" i="80"/>
  <c r="O52" i="80"/>
  <c r="K52" i="80"/>
  <c r="H13" i="79" s="1"/>
  <c r="AF51" i="80"/>
  <c r="AE51" i="80"/>
  <c r="V51" i="80"/>
  <c r="M51" i="80" s="1"/>
  <c r="N51" i="80" s="1"/>
  <c r="P51" i="80" s="1"/>
  <c r="U51" i="80"/>
  <c r="O51" i="80"/>
  <c r="K51" i="80"/>
  <c r="G51" i="80"/>
  <c r="V50" i="80"/>
  <c r="M50" i="80" s="1"/>
  <c r="N50" i="80" s="1"/>
  <c r="U50" i="80"/>
  <c r="Q50" i="80"/>
  <c r="P50" i="80"/>
  <c r="O50" i="80"/>
  <c r="K50" i="80"/>
  <c r="G50" i="80"/>
  <c r="AE49" i="80"/>
  <c r="V49" i="80"/>
  <c r="M49" i="80" s="1"/>
  <c r="U49" i="80"/>
  <c r="O49" i="80"/>
  <c r="K49" i="80"/>
  <c r="G49" i="80"/>
  <c r="AE48" i="80"/>
  <c r="X48" i="80"/>
  <c r="W48" i="80"/>
  <c r="V48" i="80"/>
  <c r="M48" i="80" s="1"/>
  <c r="O48" i="80"/>
  <c r="K48" i="80"/>
  <c r="G48" i="80"/>
  <c r="AD47" i="80"/>
  <c r="AD2" i="80" s="1"/>
  <c r="N6" i="79" s="1"/>
  <c r="Z47" i="80"/>
  <c r="Z2" i="80" s="1"/>
  <c r="L6" i="79" s="1"/>
  <c r="Y47" i="80"/>
  <c r="L18" i="79" s="1"/>
  <c r="O47" i="80"/>
  <c r="K47" i="80"/>
  <c r="V46" i="80"/>
  <c r="M46" i="80" s="1"/>
  <c r="U46" i="80"/>
  <c r="O46" i="80"/>
  <c r="K46" i="80"/>
  <c r="G46" i="80"/>
  <c r="V45" i="80"/>
  <c r="M45" i="80" s="1"/>
  <c r="U45" i="80"/>
  <c r="O45" i="80"/>
  <c r="K45" i="80"/>
  <c r="G45" i="80"/>
  <c r="V44" i="80"/>
  <c r="U44" i="80"/>
  <c r="O44" i="80"/>
  <c r="M44" i="80"/>
  <c r="K44" i="80"/>
  <c r="G44" i="80"/>
  <c r="X43" i="80"/>
  <c r="W43" i="80"/>
  <c r="V43" i="80"/>
  <c r="M43" i="80" s="1"/>
  <c r="U43" i="80"/>
  <c r="Q43" i="80"/>
  <c r="P43" i="80"/>
  <c r="O43" i="80"/>
  <c r="N43" i="80"/>
  <c r="K43" i="80"/>
  <c r="G43" i="80"/>
  <c r="V42" i="80"/>
  <c r="U42" i="80"/>
  <c r="O42" i="80"/>
  <c r="M42" i="80"/>
  <c r="K42" i="80"/>
  <c r="G42" i="80"/>
  <c r="V41" i="80"/>
  <c r="U41" i="80"/>
  <c r="O41" i="80"/>
  <c r="M41" i="80"/>
  <c r="K41" i="80"/>
  <c r="G41" i="80"/>
  <c r="V40" i="80"/>
  <c r="U40" i="80"/>
  <c r="O40" i="80"/>
  <c r="M40" i="80"/>
  <c r="K40" i="80"/>
  <c r="G40" i="80"/>
  <c r="X39" i="80"/>
  <c r="W39" i="80"/>
  <c r="V39" i="80"/>
  <c r="Q39" i="80"/>
  <c r="P39" i="80"/>
  <c r="O39" i="80"/>
  <c r="N39" i="80"/>
  <c r="M39" i="80"/>
  <c r="K39" i="80"/>
  <c r="G39" i="80"/>
  <c r="AD38" i="80"/>
  <c r="Z38" i="80"/>
  <c r="K19" i="79" s="1"/>
  <c r="Y38" i="80"/>
  <c r="O38" i="80"/>
  <c r="K38" i="80"/>
  <c r="V37" i="80"/>
  <c r="U37" i="80"/>
  <c r="O37" i="80"/>
  <c r="M37" i="80"/>
  <c r="K37" i="80"/>
  <c r="G37" i="80"/>
  <c r="V36" i="80"/>
  <c r="U36" i="80"/>
  <c r="O36" i="80"/>
  <c r="N36" i="80"/>
  <c r="M36" i="80"/>
  <c r="K36" i="80"/>
  <c r="G36" i="80"/>
  <c r="V35" i="80"/>
  <c r="U35" i="80"/>
  <c r="O35" i="80"/>
  <c r="M35" i="80"/>
  <c r="AE35" i="80" s="1"/>
  <c r="K35" i="80"/>
  <c r="G35" i="80"/>
  <c r="AF34" i="80"/>
  <c r="X34" i="80"/>
  <c r="W34" i="80"/>
  <c r="V34" i="80"/>
  <c r="U34" i="80"/>
  <c r="O34" i="80"/>
  <c r="M34" i="80"/>
  <c r="AE34" i="80" s="1"/>
  <c r="K34" i="80"/>
  <c r="G34" i="80"/>
  <c r="AF33" i="80"/>
  <c r="V33" i="80"/>
  <c r="U33" i="80"/>
  <c r="O33" i="80"/>
  <c r="N33" i="80"/>
  <c r="M33" i="80"/>
  <c r="AE33" i="80" s="1"/>
  <c r="K33" i="80"/>
  <c r="G33" i="80"/>
  <c r="V32" i="80"/>
  <c r="U32" i="80"/>
  <c r="O32" i="80"/>
  <c r="M32" i="80"/>
  <c r="N32" i="80" s="1"/>
  <c r="K32" i="80"/>
  <c r="G32" i="80"/>
  <c r="X31" i="80"/>
  <c r="W31" i="80"/>
  <c r="V31" i="80"/>
  <c r="O31" i="80"/>
  <c r="M31" i="80"/>
  <c r="AF31" i="80" s="1"/>
  <c r="K31" i="80"/>
  <c r="G31" i="80"/>
  <c r="AD30" i="80"/>
  <c r="Z30" i="80"/>
  <c r="Y30" i="80"/>
  <c r="O30" i="80"/>
  <c r="K30" i="80"/>
  <c r="G13" i="79" s="1"/>
  <c r="AF29" i="80"/>
  <c r="AE29" i="80"/>
  <c r="V29" i="80"/>
  <c r="U29" i="80"/>
  <c r="O29" i="80"/>
  <c r="M29" i="80"/>
  <c r="N29" i="80" s="1"/>
  <c r="K29" i="80"/>
  <c r="G29" i="80"/>
  <c r="V28" i="80"/>
  <c r="M28" i="80" s="1"/>
  <c r="N28" i="80" s="1"/>
  <c r="U28" i="80"/>
  <c r="O28" i="80"/>
  <c r="K28" i="80"/>
  <c r="G28" i="80"/>
  <c r="V27" i="80"/>
  <c r="M27" i="80" s="1"/>
  <c r="N27" i="80" s="1"/>
  <c r="U27" i="80"/>
  <c r="O27" i="80"/>
  <c r="K27" i="80"/>
  <c r="G27" i="80"/>
  <c r="V26" i="80"/>
  <c r="M26" i="80" s="1"/>
  <c r="N26" i="80" s="1"/>
  <c r="P26" i="80" s="1"/>
  <c r="U26" i="80"/>
  <c r="O26" i="80"/>
  <c r="K26" i="80"/>
  <c r="G26" i="80"/>
  <c r="V25" i="80"/>
  <c r="M25" i="80" s="1"/>
  <c r="N25" i="80" s="1"/>
  <c r="U25" i="80"/>
  <c r="Q25" i="80"/>
  <c r="P25" i="80"/>
  <c r="O25" i="80"/>
  <c r="K25" i="80"/>
  <c r="G25" i="80"/>
  <c r="V24" i="80"/>
  <c r="M24" i="80" s="1"/>
  <c r="U24" i="80"/>
  <c r="O24" i="80"/>
  <c r="K24" i="80"/>
  <c r="G24" i="80"/>
  <c r="V23" i="80"/>
  <c r="M23" i="80" s="1"/>
  <c r="M30" i="80" s="1"/>
  <c r="O23" i="80"/>
  <c r="K23" i="80"/>
  <c r="G23" i="80"/>
  <c r="AD22" i="80"/>
  <c r="Z22" i="80"/>
  <c r="Y22" i="80"/>
  <c r="O22" i="80"/>
  <c r="K22" i="80"/>
  <c r="V21" i="80"/>
  <c r="U21" i="80"/>
  <c r="O21" i="80"/>
  <c r="M21" i="80"/>
  <c r="K21" i="80"/>
  <c r="G21" i="80"/>
  <c r="V20" i="80"/>
  <c r="U20" i="80"/>
  <c r="O20" i="80"/>
  <c r="M20" i="80"/>
  <c r="K20" i="80"/>
  <c r="G20" i="80"/>
  <c r="V19" i="80"/>
  <c r="U19" i="80"/>
  <c r="O19" i="80"/>
  <c r="M19" i="80"/>
  <c r="K19" i="80"/>
  <c r="G19" i="80"/>
  <c r="V18" i="80"/>
  <c r="U18" i="80"/>
  <c r="O18" i="80"/>
  <c r="M18" i="80"/>
  <c r="K18" i="80"/>
  <c r="G18" i="80"/>
  <c r="X17" i="80"/>
  <c r="W17" i="80"/>
  <c r="V17" i="80"/>
  <c r="M17" i="80" s="1"/>
  <c r="U17" i="80"/>
  <c r="O17" i="80"/>
  <c r="K17" i="80"/>
  <c r="G17" i="80"/>
  <c r="V16" i="80"/>
  <c r="U16" i="80"/>
  <c r="O16" i="80"/>
  <c r="N16" i="80"/>
  <c r="M16" i="80"/>
  <c r="K16" i="80"/>
  <c r="G16" i="80"/>
  <c r="V15" i="80"/>
  <c r="O15" i="80"/>
  <c r="M15" i="80"/>
  <c r="K15" i="80"/>
  <c r="G15" i="80"/>
  <c r="AD14" i="80"/>
  <c r="Z14" i="80"/>
  <c r="Y14" i="80"/>
  <c r="E18" i="79" s="1"/>
  <c r="O14" i="80"/>
  <c r="K14" i="80"/>
  <c r="AF13" i="80"/>
  <c r="AE13" i="80"/>
  <c r="V13" i="80"/>
  <c r="U13" i="80"/>
  <c r="P13" i="80"/>
  <c r="O13" i="80"/>
  <c r="M13" i="80"/>
  <c r="N13" i="80" s="1"/>
  <c r="K13" i="80"/>
  <c r="G13" i="80"/>
  <c r="V12" i="80"/>
  <c r="M12" i="80" s="1"/>
  <c r="N12" i="80" s="1"/>
  <c r="U12" i="80"/>
  <c r="O12" i="80"/>
  <c r="K12" i="80"/>
  <c r="G12" i="80"/>
  <c r="AF11" i="80"/>
  <c r="AE11" i="80"/>
  <c r="X11" i="80"/>
  <c r="W11" i="80"/>
  <c r="V11" i="80"/>
  <c r="U11" i="80"/>
  <c r="O11" i="80"/>
  <c r="M11" i="80"/>
  <c r="M14" i="80" s="1"/>
  <c r="K11" i="80"/>
  <c r="G11" i="80"/>
  <c r="AF10" i="80"/>
  <c r="AE10" i="80"/>
  <c r="V10" i="80"/>
  <c r="U10" i="80"/>
  <c r="O10" i="80"/>
  <c r="M10" i="80"/>
  <c r="N10" i="80" s="1"/>
  <c r="K10" i="80"/>
  <c r="G10" i="80"/>
  <c r="AF9" i="80"/>
  <c r="AE9" i="80"/>
  <c r="X9" i="80"/>
  <c r="W9" i="80"/>
  <c r="V9" i="80"/>
  <c r="O9" i="80"/>
  <c r="N9" i="80"/>
  <c r="M9" i="80"/>
  <c r="K9" i="80"/>
  <c r="G9" i="80"/>
  <c r="AD8" i="80"/>
  <c r="Z8" i="80"/>
  <c r="Y8" i="80"/>
  <c r="O8" i="80"/>
  <c r="K8" i="80"/>
  <c r="V7" i="80"/>
  <c r="U7" i="80"/>
  <c r="O7" i="80"/>
  <c r="M7" i="80"/>
  <c r="N7" i="80" s="1"/>
  <c r="K7" i="80"/>
  <c r="G7" i="80"/>
  <c r="AE6" i="80"/>
  <c r="V6" i="80"/>
  <c r="M6" i="80" s="1"/>
  <c r="AF6" i="80" s="1"/>
  <c r="U6" i="80"/>
  <c r="O6" i="80"/>
  <c r="N6" i="80"/>
  <c r="K6" i="80"/>
  <c r="G6" i="80"/>
  <c r="AF5" i="80"/>
  <c r="AE5" i="80"/>
  <c r="V5" i="80"/>
  <c r="M5" i="80" s="1"/>
  <c r="M8" i="80" s="1"/>
  <c r="O5" i="80"/>
  <c r="K5" i="80"/>
  <c r="G5" i="80"/>
  <c r="H2" i="80"/>
  <c r="H1" i="80"/>
  <c r="D1" i="80"/>
  <c r="M22" i="79"/>
  <c r="L22" i="79"/>
  <c r="K22" i="79"/>
  <c r="J22" i="79"/>
  <c r="I22" i="79"/>
  <c r="H22" i="79"/>
  <c r="G22" i="79"/>
  <c r="F22" i="79"/>
  <c r="E22" i="79"/>
  <c r="D22" i="79"/>
  <c r="M21" i="79"/>
  <c r="K21" i="79"/>
  <c r="J21" i="79"/>
  <c r="I21" i="79"/>
  <c r="H21" i="79"/>
  <c r="G21" i="79"/>
  <c r="F21" i="79"/>
  <c r="E21" i="79"/>
  <c r="D21" i="79"/>
  <c r="M20" i="79"/>
  <c r="L20" i="79"/>
  <c r="K20" i="79"/>
  <c r="J20" i="79"/>
  <c r="I20" i="79"/>
  <c r="H20" i="79"/>
  <c r="G20" i="79"/>
  <c r="F20" i="79"/>
  <c r="E20" i="79"/>
  <c r="D20" i="79"/>
  <c r="M19" i="79"/>
  <c r="H19" i="79"/>
  <c r="G19" i="79"/>
  <c r="F19" i="79"/>
  <c r="E19" i="79"/>
  <c r="D19" i="79"/>
  <c r="M18" i="79"/>
  <c r="K18" i="79"/>
  <c r="J18" i="79"/>
  <c r="H18" i="79"/>
  <c r="G18" i="79"/>
  <c r="F18" i="79"/>
  <c r="D18" i="79"/>
  <c r="M17" i="79"/>
  <c r="L17" i="79"/>
  <c r="K17" i="79"/>
  <c r="J17" i="79"/>
  <c r="I17" i="79"/>
  <c r="H17" i="79"/>
  <c r="G17" i="79"/>
  <c r="F17" i="79"/>
  <c r="E17" i="79"/>
  <c r="D17" i="79"/>
  <c r="M16" i="79"/>
  <c r="L16" i="79"/>
  <c r="K16" i="79"/>
  <c r="J16" i="79"/>
  <c r="I16" i="79"/>
  <c r="H16" i="79"/>
  <c r="G16" i="79"/>
  <c r="F16" i="79"/>
  <c r="E16" i="79"/>
  <c r="D16" i="79"/>
  <c r="M13" i="79"/>
  <c r="L13" i="79"/>
  <c r="K13" i="79"/>
  <c r="J13" i="79"/>
  <c r="I13" i="79"/>
  <c r="F13" i="79"/>
  <c r="E13" i="79"/>
  <c r="D13" i="79"/>
  <c r="M6" i="79"/>
  <c r="F3" i="79"/>
  <c r="C3" i="79"/>
  <c r="E8" i="87" l="1"/>
  <c r="F7" i="85"/>
  <c r="E7" i="85"/>
  <c r="G8" i="85"/>
  <c r="F8" i="85"/>
  <c r="I7" i="85"/>
  <c r="K15" i="85"/>
  <c r="I8" i="85" s="1"/>
  <c r="I14" i="83"/>
  <c r="I15" i="83" s="1"/>
  <c r="Q57" i="84"/>
  <c r="R50" i="84" s="1"/>
  <c r="P57" i="84"/>
  <c r="Q63" i="84"/>
  <c r="R58" i="84" s="1"/>
  <c r="P63" i="84"/>
  <c r="J14" i="83"/>
  <c r="J15" i="83" s="1"/>
  <c r="Q70" i="84"/>
  <c r="R64" i="84" s="1"/>
  <c r="P70" i="84"/>
  <c r="M14" i="83"/>
  <c r="M15" i="83" s="1"/>
  <c r="D15" i="83"/>
  <c r="Q22" i="84"/>
  <c r="R15" i="84" s="1"/>
  <c r="P22" i="84"/>
  <c r="F14" i="83"/>
  <c r="F15" i="83" s="1"/>
  <c r="Q14" i="84"/>
  <c r="R9" i="84" s="1"/>
  <c r="P14" i="84"/>
  <c r="E14" i="83"/>
  <c r="E15" i="83" s="1"/>
  <c r="Q49" i="84"/>
  <c r="R45" i="84" s="1"/>
  <c r="P49" i="84"/>
  <c r="H14" i="83"/>
  <c r="H15" i="83" s="1"/>
  <c r="Q44" i="84"/>
  <c r="R37" i="84" s="1"/>
  <c r="P44" i="84"/>
  <c r="L14" i="83"/>
  <c r="L15" i="83" s="1"/>
  <c r="Q36" i="84"/>
  <c r="R30" i="84" s="1"/>
  <c r="K14" i="83"/>
  <c r="P36" i="84"/>
  <c r="Q69" i="82"/>
  <c r="P69" i="82"/>
  <c r="N61" i="82"/>
  <c r="AF61" i="82"/>
  <c r="AG54" i="82" s="1"/>
  <c r="AE61" i="82"/>
  <c r="Q44" i="82"/>
  <c r="P44" i="82"/>
  <c r="Q9" i="82"/>
  <c r="P9" i="82"/>
  <c r="Q57" i="82"/>
  <c r="P57" i="82"/>
  <c r="P46" i="82"/>
  <c r="Q46" i="82"/>
  <c r="Q38" i="82"/>
  <c r="P38" i="82"/>
  <c r="N67" i="82"/>
  <c r="AF67" i="82"/>
  <c r="AG62" i="82" s="1"/>
  <c r="AE67" i="82"/>
  <c r="Q17" i="82"/>
  <c r="P17" i="82"/>
  <c r="P40" i="82"/>
  <c r="Q40" i="82"/>
  <c r="Q32" i="82"/>
  <c r="P32" i="82"/>
  <c r="AF39" i="82"/>
  <c r="AG32" i="82" s="1"/>
  <c r="AE39" i="82"/>
  <c r="N39" i="82"/>
  <c r="Q16" i="82"/>
  <c r="P16" i="82"/>
  <c r="Q30" i="82"/>
  <c r="P30" i="82"/>
  <c r="Q12" i="82"/>
  <c r="P12" i="82"/>
  <c r="P51" i="82"/>
  <c r="Q51" i="82"/>
  <c r="Q52" i="82"/>
  <c r="P52" i="82"/>
  <c r="N53" i="82"/>
  <c r="AF53" i="82"/>
  <c r="AG49" i="82" s="1"/>
  <c r="AE53" i="82"/>
  <c r="Q50" i="82"/>
  <c r="P50" i="82"/>
  <c r="Q24" i="82"/>
  <c r="P24" i="82"/>
  <c r="Q31" i="82"/>
  <c r="R24" i="82" s="1"/>
  <c r="P31" i="82"/>
  <c r="G14" i="81"/>
  <c r="G15" i="81" s="1"/>
  <c r="P65" i="82"/>
  <c r="Q65" i="82"/>
  <c r="Q49" i="82"/>
  <c r="P49" i="82"/>
  <c r="Q36" i="82"/>
  <c r="P36" i="82"/>
  <c r="N23" i="82"/>
  <c r="AF23" i="82"/>
  <c r="AG15" i="82" s="1"/>
  <c r="AE23" i="82"/>
  <c r="Q13" i="82"/>
  <c r="P13" i="82"/>
  <c r="P62" i="82"/>
  <c r="Q62" i="82"/>
  <c r="F2" i="82"/>
  <c r="I3" i="81"/>
  <c r="Q58" i="82"/>
  <c r="P58" i="82"/>
  <c r="P64" i="82"/>
  <c r="Q64" i="82"/>
  <c r="Q10" i="82"/>
  <c r="P10" i="82"/>
  <c r="Q7" i="82"/>
  <c r="P7" i="82"/>
  <c r="P43" i="82"/>
  <c r="Q43" i="82"/>
  <c r="Q34" i="82"/>
  <c r="P34" i="82"/>
  <c r="Q54" i="82"/>
  <c r="P54" i="82"/>
  <c r="Q60" i="82"/>
  <c r="P60" i="82"/>
  <c r="D2" i="82"/>
  <c r="Q8" i="82"/>
  <c r="R5" i="82" s="1"/>
  <c r="P8" i="82"/>
  <c r="D14" i="81"/>
  <c r="Q21" i="82"/>
  <c r="P21" i="82"/>
  <c r="Q74" i="82"/>
  <c r="P74" i="82"/>
  <c r="AF75" i="82"/>
  <c r="AG68" i="82" s="1"/>
  <c r="AE75" i="82"/>
  <c r="N75" i="82"/>
  <c r="N48" i="82"/>
  <c r="AF48" i="82"/>
  <c r="AG40" i="82" s="1"/>
  <c r="AE48" i="82"/>
  <c r="Q56" i="82"/>
  <c r="P56" i="82"/>
  <c r="Q19" i="82"/>
  <c r="P19" i="82"/>
  <c r="Q25" i="82"/>
  <c r="P25" i="82"/>
  <c r="Q59" i="82"/>
  <c r="P59" i="82"/>
  <c r="AF14" i="82"/>
  <c r="AG9" i="82" s="1"/>
  <c r="AE14" i="82"/>
  <c r="N14" i="82"/>
  <c r="P26" i="82"/>
  <c r="Q26" i="82"/>
  <c r="Q33" i="82"/>
  <c r="P33" i="82"/>
  <c r="Q47" i="82"/>
  <c r="P47" i="82"/>
  <c r="Q63" i="82"/>
  <c r="P63" i="82"/>
  <c r="Q20" i="82"/>
  <c r="P20" i="82"/>
  <c r="Q66" i="82"/>
  <c r="P66" i="82"/>
  <c r="I6" i="79"/>
  <c r="AE14" i="80"/>
  <c r="N14" i="80"/>
  <c r="AF14" i="80"/>
  <c r="AG9" i="80" s="1"/>
  <c r="G6" i="79"/>
  <c r="AE30" i="80"/>
  <c r="AF30" i="80"/>
  <c r="AG23" i="80" s="1"/>
  <c r="N30" i="80"/>
  <c r="E6" i="79"/>
  <c r="F6" i="79"/>
  <c r="N8" i="80"/>
  <c r="AF8" i="80"/>
  <c r="AG5" i="80" s="1"/>
  <c r="AE8" i="80"/>
  <c r="AE17" i="80"/>
  <c r="N17" i="80"/>
  <c r="AF17" i="80"/>
  <c r="L21" i="79"/>
  <c r="AF16" i="80"/>
  <c r="AE16" i="80"/>
  <c r="Q26" i="80"/>
  <c r="Q32" i="80"/>
  <c r="P32" i="80"/>
  <c r="Q36" i="80"/>
  <c r="P36" i="80"/>
  <c r="AF45" i="80"/>
  <c r="AE45" i="80"/>
  <c r="Q65" i="80"/>
  <c r="Q68" i="80"/>
  <c r="Q16" i="80"/>
  <c r="P16" i="80"/>
  <c r="AF19" i="80"/>
  <c r="AE19" i="80"/>
  <c r="M38" i="80"/>
  <c r="M60" i="80"/>
  <c r="N53" i="80"/>
  <c r="AF58" i="80"/>
  <c r="AE58" i="80"/>
  <c r="AF42" i="80"/>
  <c r="AE42" i="80"/>
  <c r="AF53" i="80"/>
  <c r="AF62" i="80"/>
  <c r="AE62" i="80"/>
  <c r="AE65" i="80"/>
  <c r="Q67" i="80"/>
  <c r="P67" i="80"/>
  <c r="AE68" i="80"/>
  <c r="L19" i="79"/>
  <c r="Y2" i="80"/>
  <c r="K6" i="79" s="1"/>
  <c r="AF15" i="80"/>
  <c r="M22" i="80"/>
  <c r="AE15" i="80"/>
  <c r="AF26" i="80"/>
  <c r="Q28" i="80"/>
  <c r="P28" i="80"/>
  <c r="AE32" i="80"/>
  <c r="N35" i="80"/>
  <c r="N42" i="80"/>
  <c r="P61" i="80"/>
  <c r="AF65" i="80"/>
  <c r="AF68" i="80"/>
  <c r="Q70" i="80"/>
  <c r="P70" i="80"/>
  <c r="N11" i="80"/>
  <c r="N15" i="80"/>
  <c r="AE28" i="80"/>
  <c r="AF32" i="80"/>
  <c r="N34" i="80"/>
  <c r="AF43" i="80"/>
  <c r="AE43" i="80"/>
  <c r="AE50" i="80"/>
  <c r="AE70" i="80"/>
  <c r="M75" i="80"/>
  <c r="Q6" i="80"/>
  <c r="P6" i="80"/>
  <c r="AE7" i="80"/>
  <c r="Q12" i="80"/>
  <c r="P12" i="80"/>
  <c r="AF18" i="80"/>
  <c r="AE18" i="80"/>
  <c r="AF21" i="80"/>
  <c r="AE21" i="80"/>
  <c r="AF28" i="80"/>
  <c r="AF37" i="80"/>
  <c r="AE37" i="80"/>
  <c r="AF41" i="80"/>
  <c r="AE41" i="80"/>
  <c r="AF50" i="80"/>
  <c r="AE55" i="80"/>
  <c r="AF57" i="80"/>
  <c r="AE57" i="80"/>
  <c r="AE67" i="80"/>
  <c r="AF70" i="80"/>
  <c r="AE73" i="80"/>
  <c r="Q7" i="80"/>
  <c r="P7" i="80"/>
  <c r="N19" i="80"/>
  <c r="N23" i="80"/>
  <c r="AF23" i="80"/>
  <c r="N31" i="80"/>
  <c r="AE53" i="80"/>
  <c r="Q55" i="80"/>
  <c r="P55" i="80"/>
  <c r="N58" i="80"/>
  <c r="Q73" i="80"/>
  <c r="P73" i="80"/>
  <c r="AE23" i="80"/>
  <c r="AE26" i="80"/>
  <c r="F1" i="80"/>
  <c r="AF7" i="80"/>
  <c r="AE12" i="80"/>
  <c r="N18" i="80"/>
  <c r="N21" i="80"/>
  <c r="AE25" i="80"/>
  <c r="AE31" i="80"/>
  <c r="N37" i="80"/>
  <c r="N41" i="80"/>
  <c r="N45" i="80"/>
  <c r="N46" i="80"/>
  <c r="AF46" i="80"/>
  <c r="AF55" i="80"/>
  <c r="N57" i="80"/>
  <c r="AF61" i="80"/>
  <c r="M66" i="80"/>
  <c r="AE61" i="80"/>
  <c r="AE64" i="80"/>
  <c r="AF67" i="80"/>
  <c r="AF73" i="80"/>
  <c r="Q10" i="80"/>
  <c r="P10" i="80"/>
  <c r="AF12" i="80"/>
  <c r="AF25" i="80"/>
  <c r="AF35" i="80"/>
  <c r="AE46" i="80"/>
  <c r="N49" i="80"/>
  <c r="AF49" i="80"/>
  <c r="AF64" i="80"/>
  <c r="N5" i="80"/>
  <c r="P9" i="80"/>
  <c r="AF20" i="80"/>
  <c r="AE20" i="80"/>
  <c r="Q27" i="80"/>
  <c r="P27" i="80"/>
  <c r="Q29" i="80"/>
  <c r="P29" i="80"/>
  <c r="Q33" i="80"/>
  <c r="P33" i="80"/>
  <c r="Q54" i="80"/>
  <c r="P54" i="80"/>
  <c r="AF59" i="80"/>
  <c r="AE59" i="80"/>
  <c r="Q69" i="80"/>
  <c r="P69" i="80"/>
  <c r="Q71" i="80"/>
  <c r="P71" i="80"/>
  <c r="Q72" i="80"/>
  <c r="P72" i="80"/>
  <c r="N20" i="80"/>
  <c r="N24" i="80"/>
  <c r="AF24" i="80"/>
  <c r="AE27" i="80"/>
  <c r="AF40" i="80"/>
  <c r="AE40" i="80"/>
  <c r="AF44" i="80"/>
  <c r="AE44" i="80"/>
  <c r="N48" i="80"/>
  <c r="M52" i="80"/>
  <c r="AF48" i="80"/>
  <c r="Q51" i="80"/>
  <c r="AE54" i="80"/>
  <c r="N59" i="80"/>
  <c r="N62" i="80"/>
  <c r="N63" i="80"/>
  <c r="AF63" i="80"/>
  <c r="AE69" i="80"/>
  <c r="AE72" i="80"/>
  <c r="Q9" i="80"/>
  <c r="Q13" i="80"/>
  <c r="AE24" i="80"/>
  <c r="AF27" i="80"/>
  <c r="AF36" i="80"/>
  <c r="AE36" i="80"/>
  <c r="AF39" i="80"/>
  <c r="AE39" i="80"/>
  <c r="M47" i="80"/>
  <c r="N40" i="80"/>
  <c r="N44" i="80"/>
  <c r="AF54" i="80"/>
  <c r="N56" i="80"/>
  <c r="AE63" i="80"/>
  <c r="AF69" i="80"/>
  <c r="AF72" i="80"/>
  <c r="N74" i="80"/>
  <c r="E8" i="85" l="1"/>
  <c r="G7" i="83"/>
  <c r="G8" i="83"/>
  <c r="F8" i="83"/>
  <c r="K15" i="83"/>
  <c r="I8" i="83" s="1"/>
  <c r="I7" i="83"/>
  <c r="F7" i="83"/>
  <c r="E7" i="83"/>
  <c r="D15" i="81"/>
  <c r="Q14" i="82"/>
  <c r="R9" i="82" s="1"/>
  <c r="P14" i="82"/>
  <c r="E14" i="81"/>
  <c r="E15" i="81" s="1"/>
  <c r="Q48" i="82"/>
  <c r="R40" i="82" s="1"/>
  <c r="P48" i="82"/>
  <c r="L14" i="81"/>
  <c r="L15" i="81" s="1"/>
  <c r="Q23" i="82"/>
  <c r="R15" i="82" s="1"/>
  <c r="P23" i="82"/>
  <c r="F14" i="81"/>
  <c r="F15" i="81" s="1"/>
  <c r="Q75" i="82"/>
  <c r="R68" i="82" s="1"/>
  <c r="P75" i="82"/>
  <c r="M14" i="81"/>
  <c r="M15" i="81" s="1"/>
  <c r="Q67" i="82"/>
  <c r="R62" i="82" s="1"/>
  <c r="P67" i="82"/>
  <c r="J14" i="81"/>
  <c r="J15" i="81" s="1"/>
  <c r="K14" i="81"/>
  <c r="Q39" i="82"/>
  <c r="R32" i="82" s="1"/>
  <c r="P39" i="82"/>
  <c r="I14" i="81"/>
  <c r="I15" i="81" s="1"/>
  <c r="Q61" i="82"/>
  <c r="R54" i="82" s="1"/>
  <c r="P61" i="82"/>
  <c r="Q53" i="82"/>
  <c r="R49" i="82" s="1"/>
  <c r="P53" i="82"/>
  <c r="H14" i="81"/>
  <c r="H15" i="81" s="1"/>
  <c r="Q53" i="80"/>
  <c r="P53" i="80"/>
  <c r="P48" i="80"/>
  <c r="Q48" i="80"/>
  <c r="Q42" i="80"/>
  <c r="P42" i="80"/>
  <c r="AF38" i="80"/>
  <c r="AG31" i="80" s="1"/>
  <c r="AE38" i="80"/>
  <c r="N38" i="80"/>
  <c r="Q20" i="80"/>
  <c r="P20" i="80"/>
  <c r="F2" i="80"/>
  <c r="I3" i="79"/>
  <c r="Q19" i="80"/>
  <c r="P19" i="80"/>
  <c r="N52" i="80"/>
  <c r="AF52" i="80"/>
  <c r="AG48" i="80" s="1"/>
  <c r="AE52" i="80"/>
  <c r="Q41" i="80"/>
  <c r="P41" i="80"/>
  <c r="Q35" i="80"/>
  <c r="P35" i="80"/>
  <c r="Q30" i="80"/>
  <c r="R23" i="80" s="1"/>
  <c r="P30" i="80"/>
  <c r="G14" i="79"/>
  <c r="G15" i="79" s="1"/>
  <c r="Q37" i="80"/>
  <c r="P37" i="80"/>
  <c r="Q58" i="80"/>
  <c r="P58" i="80"/>
  <c r="Q34" i="80"/>
  <c r="P34" i="80"/>
  <c r="Q44" i="80"/>
  <c r="P44" i="80"/>
  <c r="Q57" i="80"/>
  <c r="P57" i="80"/>
  <c r="Q74" i="80"/>
  <c r="P74" i="80"/>
  <c r="AF60" i="80"/>
  <c r="AG53" i="80" s="1"/>
  <c r="AE60" i="80"/>
  <c r="N60" i="80"/>
  <c r="N47" i="80"/>
  <c r="AF47" i="80"/>
  <c r="AG39" i="80" s="1"/>
  <c r="AE47" i="80"/>
  <c r="Q63" i="80"/>
  <c r="P63" i="80"/>
  <c r="Q21" i="80"/>
  <c r="P21" i="80"/>
  <c r="Q15" i="80"/>
  <c r="P15" i="80"/>
  <c r="P23" i="80"/>
  <c r="Q23" i="80"/>
  <c r="AF75" i="80"/>
  <c r="AG67" i="80" s="1"/>
  <c r="AE75" i="80"/>
  <c r="N75" i="80"/>
  <c r="P8" i="80"/>
  <c r="D14" i="79"/>
  <c r="Q8" i="80"/>
  <c r="R5" i="80" s="1"/>
  <c r="Q46" i="80"/>
  <c r="P46" i="80"/>
  <c r="Q45" i="80"/>
  <c r="P45" i="80"/>
  <c r="Q56" i="80"/>
  <c r="P56" i="80"/>
  <c r="Q40" i="80"/>
  <c r="P40" i="80"/>
  <c r="Q5" i="80"/>
  <c r="P5" i="80"/>
  <c r="Q62" i="80"/>
  <c r="P62" i="80"/>
  <c r="N66" i="80"/>
  <c r="AF66" i="80"/>
  <c r="AG61" i="80" s="1"/>
  <c r="AE66" i="80"/>
  <c r="Q18" i="80"/>
  <c r="P18" i="80"/>
  <c r="Q31" i="80"/>
  <c r="P31" i="80"/>
  <c r="Q11" i="80"/>
  <c r="P11" i="80"/>
  <c r="Q17" i="80"/>
  <c r="P17" i="80"/>
  <c r="Q14" i="80"/>
  <c r="R9" i="80" s="1"/>
  <c r="P14" i="80"/>
  <c r="E14" i="79"/>
  <c r="E15" i="79" s="1"/>
  <c r="Q59" i="80"/>
  <c r="P59" i="80"/>
  <c r="Q24" i="80"/>
  <c r="P24" i="80"/>
  <c r="Q49" i="80"/>
  <c r="P49" i="80"/>
  <c r="N22" i="80"/>
  <c r="AF22" i="80"/>
  <c r="AG15" i="80" s="1"/>
  <c r="AE22" i="80"/>
  <c r="E8" i="83" l="1"/>
  <c r="K15" i="81"/>
  <c r="I8" i="81" s="1"/>
  <c r="I7" i="81"/>
  <c r="G8" i="81"/>
  <c r="F8" i="81"/>
  <c r="E7" i="81"/>
  <c r="F7" i="81"/>
  <c r="G7" i="81"/>
  <c r="Q66" i="80"/>
  <c r="R61" i="80" s="1"/>
  <c r="P66" i="80"/>
  <c r="J14" i="79"/>
  <c r="J15" i="79" s="1"/>
  <c r="K14" i="79"/>
  <c r="Q38" i="80"/>
  <c r="R31" i="80" s="1"/>
  <c r="P38" i="80"/>
  <c r="P22" i="80"/>
  <c r="Q22" i="80"/>
  <c r="R15" i="80" s="1"/>
  <c r="F14" i="79"/>
  <c r="F15" i="79" s="1"/>
  <c r="P47" i="80"/>
  <c r="Q47" i="80"/>
  <c r="R39" i="80" s="1"/>
  <c r="L14" i="79"/>
  <c r="L15" i="79" s="1"/>
  <c r="I14" i="79"/>
  <c r="I15" i="79" s="1"/>
  <c r="Q60" i="80"/>
  <c r="R53" i="80" s="1"/>
  <c r="P60" i="80"/>
  <c r="Q52" i="80"/>
  <c r="R48" i="80" s="1"/>
  <c r="P52" i="80"/>
  <c r="H14" i="79"/>
  <c r="H15" i="79" s="1"/>
  <c r="D15" i="79"/>
  <c r="D2" i="80"/>
  <c r="Q75" i="80"/>
  <c r="R67" i="80" s="1"/>
  <c r="P75" i="80"/>
  <c r="M14" i="79"/>
  <c r="M15" i="79" s="1"/>
  <c r="E8" i="81" l="1"/>
  <c r="F8" i="79"/>
  <c r="G8" i="79"/>
  <c r="K15" i="79"/>
  <c r="I8" i="79" s="1"/>
  <c r="I7" i="79"/>
  <c r="G7" i="79"/>
  <c r="E7" i="79"/>
  <c r="F7" i="79"/>
  <c r="E8" i="79" l="1"/>
</calcChain>
</file>

<file path=xl/sharedStrings.xml><?xml version="1.0" encoding="utf-8"?>
<sst xmlns="http://schemas.openxmlformats.org/spreadsheetml/2006/main" count="10993" uniqueCount="2780">
  <si>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</si>
  <si>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</si>
  <si>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</si>
  <si>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</si>
  <si>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</si>
  <si>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</si>
  <si>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</si>
  <si>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</si>
  <si>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</si>
  <si>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</si>
  <si>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</si>
  <si>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</si>
  <si>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</si>
  <si>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</si>
  <si>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新豐4線</t>
    <phoneticPr fontId="4" type="noConversion"/>
  </si>
  <si>
    <t>微波主食</t>
  </si>
  <si>
    <t>二配港式香滑嫩蛋牛肉燴飯</t>
  </si>
  <si>
    <t>二配泰式綠咖哩雞</t>
  </si>
  <si>
    <t>二配蔥爆牛肉燴飯</t>
  </si>
  <si>
    <t>沙拉</t>
  </si>
  <si>
    <t>青醬優格雞肉握沙拉(113年)</t>
  </si>
  <si>
    <t>青檸烤雞握沙拉(113年)</t>
  </si>
  <si>
    <t>小吃</t>
  </si>
  <si>
    <t>剝皮辣椒雞湯</t>
  </si>
  <si>
    <t>韓式燒肉拌飯</t>
  </si>
  <si>
    <t>二配起司控培根白醬焗烤飯</t>
  </si>
  <si>
    <t>二配金咖哩果香甘口咖哩飯</t>
  </si>
  <si>
    <t>爆炒雞丁飯</t>
  </si>
  <si>
    <t>韓式泡菜豬肉豆腐丼飯</t>
  </si>
  <si>
    <t>鐵板滑蛋炸豬排丼</t>
  </si>
  <si>
    <t>二配川味麻婆燒豆腐燴飯</t>
  </si>
  <si>
    <t>二配金咖哩濃厚辛口咖哩飯</t>
  </si>
  <si>
    <t>三明治</t>
  </si>
  <si>
    <t>紐奧良風味烤雞鮮蔬三明治</t>
  </si>
  <si>
    <t>醬燒烤雞三明治(115年)</t>
  </si>
  <si>
    <t>雞蛋沙拉三明治(114年)</t>
  </si>
  <si>
    <t>肉鬆火腿三明治(115年)</t>
  </si>
  <si>
    <t>經典火腿玉米蛋三明治</t>
  </si>
  <si>
    <t>好多菜三明治(114年)</t>
  </si>
  <si>
    <t>好多蛋三明治</t>
  </si>
  <si>
    <t>調理麵包</t>
  </si>
  <si>
    <t>黑胡椒豬肉鐵板炒麵麵包</t>
  </si>
  <si>
    <t>經典雙牛起司堡(113年)</t>
  </si>
  <si>
    <t>豬肉起司堡</t>
  </si>
  <si>
    <t>豬肉起司蛋堡</t>
  </si>
  <si>
    <t>莎莎烤雞麵沙拉</t>
  </si>
  <si>
    <t>壹號醬雞豚雙拼</t>
  </si>
  <si>
    <t>好多蒜燒豚飯</t>
  </si>
  <si>
    <t>二配香辣醬蒜味香腸蛋炒飯</t>
  </si>
  <si>
    <t>厚豆腐蛋白蕈菇豬肉堡</t>
  </si>
  <si>
    <t>茄汁薯餅蛋堡</t>
  </si>
  <si>
    <t>香雞蛋堡(112年)</t>
  </si>
  <si>
    <t>美式雞腿堡</t>
  </si>
  <si>
    <t>黃金魚堡(114年)</t>
  </si>
  <si>
    <t>藍莓優格三明治</t>
  </si>
  <si>
    <t>香蕉可可三明治</t>
  </si>
  <si>
    <t>火腿起司蛋三明治</t>
  </si>
  <si>
    <t/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</si>
  <si>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</si>
  <si>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</si>
  <si>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</si>
  <si>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</si>
  <si>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</si>
  <si>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</si>
  <si>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</si>
  <si>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</si>
  <si>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</si>
  <si>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</si>
  <si>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</si>
  <si>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</si>
  <si>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</si>
  <si>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</si>
  <si>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</si>
  <si>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</si>
  <si>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短暫停線</t>
    <phoneticPr fontId="4" type="noConversion"/>
  </si>
  <si>
    <t>星期一</t>
  </si>
  <si>
    <t>鮪魚起司溏心蛋三明治(115年)</t>
  </si>
  <si>
    <t>經典總匯三明治(115年)</t>
  </si>
  <si>
    <t>時間</t>
    <phoneticPr fontId="3" type="noConversion"/>
  </si>
  <si>
    <t>茄汁厚起司三明治</t>
  </si>
  <si>
    <t>日式炙烤親子丼</t>
  </si>
  <si>
    <t>蔥鹽雞肉麵沙拉(114年)</t>
  </si>
  <si>
    <t>二配打拋風味豬肉飯</t>
  </si>
  <si>
    <t>厚蛋時蔬握沙拉</t>
  </si>
  <si>
    <t>榛果摩卡脆脆三明治</t>
  </si>
  <si>
    <t>二配厚香料優格咖哩雞排飯</t>
  </si>
  <si>
    <t>香菇雞粥</t>
  </si>
  <si>
    <t>香菇雞燉湯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</si>
  <si>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</si>
  <si>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</si>
  <si>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</si>
  <si>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</si>
  <si>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</si>
  <si>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</si>
  <si>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</si>
  <si>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</si>
  <si>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</si>
  <si>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</si>
  <si>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</si>
  <si>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</si>
  <si>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</si>
  <si>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</si>
  <si>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</si>
  <si>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</si>
  <si>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</si>
  <si>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</si>
  <si>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</si>
  <si>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</si>
  <si>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</si>
  <si>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</si>
  <si>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</si>
  <si>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</si>
  <si>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</si>
  <si>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</si>
  <si>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</si>
  <si>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</si>
  <si>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</si>
  <si>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</si>
  <si>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</si>
  <si>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</si>
  <si>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</si>
  <si>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</si>
  <si>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</si>
  <si>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</si>
  <si>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</si>
  <si>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</si>
  <si>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</si>
  <si>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</si>
  <si>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</si>
  <si>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</si>
  <si>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</si>
  <si>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</si>
  <si>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</si>
  <si>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</si>
  <si>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</si>
  <si>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</si>
  <si>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</si>
  <si>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</si>
  <si>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</si>
  <si>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</si>
  <si>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</si>
  <si>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</si>
  <si>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</si>
  <si>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</si>
  <si>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</si>
  <si>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</si>
  <si>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</si>
  <si>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</si>
  <si>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</si>
  <si>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</si>
  <si>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</si>
  <si>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</si>
  <si>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</si>
  <si>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</si>
  <si>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</si>
  <si>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</si>
  <si>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</si>
  <si>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</si>
  <si>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</si>
  <si>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</si>
  <si>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</si>
  <si>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</si>
  <si>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</si>
  <si>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</si>
  <si>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</si>
  <si>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</si>
  <si>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</si>
  <si>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</si>
  <si>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</si>
  <si>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</si>
  <si>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</si>
  <si>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</si>
  <si>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</si>
  <si>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</si>
  <si>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</si>
  <si>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</si>
  <si>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</si>
  <si>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</si>
  <si>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</si>
  <si>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</si>
  <si>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</si>
  <si>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</si>
  <si>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</si>
  <si>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</si>
  <si>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</si>
  <si>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</si>
  <si>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</si>
  <si>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</si>
  <si>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</si>
  <si>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</si>
  <si>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</si>
  <si>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</si>
  <si>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</si>
  <si>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</si>
  <si>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</si>
  <si>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</si>
  <si>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</si>
  <si>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</si>
  <si>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</si>
  <si>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</si>
  <si>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</si>
  <si>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</si>
  <si>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</si>
  <si>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</si>
  <si>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</si>
  <si>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</si>
  <si>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</si>
  <si>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</si>
  <si>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</si>
  <si>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</si>
  <si>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</si>
  <si>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</si>
  <si>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</si>
  <si>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</si>
  <si>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</si>
  <si>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</si>
  <si>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</si>
  <si>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</si>
  <si>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</si>
  <si>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</si>
  <si>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</si>
  <si>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</si>
  <si>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</si>
  <si>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</si>
  <si>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</si>
  <si>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</si>
  <si>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</si>
  <si>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</si>
  <si>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</si>
  <si>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</si>
  <si>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</si>
  <si>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</si>
  <si>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</si>
  <si>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</si>
  <si>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</si>
  <si>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</si>
  <si>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</si>
  <si>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</si>
  <si>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</si>
  <si>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</si>
  <si>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</si>
  <si>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</si>
  <si>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</si>
  <si>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</si>
  <si>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</si>
  <si>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</si>
  <si>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</si>
  <si>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</si>
  <si>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</si>
  <si>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</si>
  <si>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</si>
  <si>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</si>
  <si>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</si>
  <si>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</si>
  <si>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</si>
  <si>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</si>
  <si>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</si>
  <si>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</si>
  <si>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</si>
  <si>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</si>
  <si>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</si>
  <si>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</si>
  <si>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</si>
  <si>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</si>
  <si>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</si>
  <si>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</si>
  <si>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</si>
  <si>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地瓜瓜握沙拉</t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</si>
  <si>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</si>
  <si>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</si>
  <si>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</si>
  <si>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</si>
  <si>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</si>
  <si>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</si>
  <si>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</si>
  <si>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</si>
  <si>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</si>
  <si>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</si>
  <si>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</si>
  <si>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</si>
  <si>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</si>
  <si>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</si>
  <si>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</si>
  <si>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</si>
  <si>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</si>
  <si>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</si>
  <si>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</si>
  <si>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</si>
  <si>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</si>
  <si>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</si>
  <si>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</si>
  <si>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</si>
  <si>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</si>
  <si>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</si>
  <si>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</si>
  <si>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</si>
  <si>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</si>
  <si>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</si>
  <si>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</si>
  <si>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</si>
  <si>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</si>
  <si>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</si>
  <si>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</si>
  <si>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</si>
  <si>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</si>
  <si>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</si>
  <si>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</si>
  <si>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</si>
  <si>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</si>
  <si>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</si>
  <si>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</si>
  <si>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</si>
  <si>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</si>
  <si>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</si>
  <si>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</si>
  <si>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</si>
  <si>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</si>
  <si>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</si>
  <si>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</si>
  <si>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</si>
  <si>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</si>
  <si>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</si>
  <si>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</si>
  <si>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</si>
  <si>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</si>
  <si>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</si>
  <si>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</si>
  <si>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</si>
  <si>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</si>
  <si>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</si>
  <si>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</si>
  <si>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</si>
  <si>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</si>
  <si>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</si>
  <si>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</si>
  <si>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</si>
  <si>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</si>
  <si>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</si>
  <si>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</si>
  <si>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</si>
  <si>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</si>
  <si>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</si>
  <si>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</si>
  <si>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</si>
  <si>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</si>
  <si>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</si>
  <si>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</si>
  <si>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</si>
  <si>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</si>
  <si>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</si>
  <si>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</si>
  <si>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</si>
  <si>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</si>
  <si>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</si>
  <si>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</si>
  <si>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</si>
  <si>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</si>
  <si>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</si>
  <si>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</si>
  <si>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</si>
  <si>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</si>
  <si>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</si>
  <si>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</si>
  <si>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</si>
  <si>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</si>
  <si>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</si>
  <si>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</si>
  <si>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</si>
  <si>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</si>
  <si>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</si>
  <si>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</si>
  <si>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</si>
  <si>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</si>
  <si>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</si>
  <si>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</si>
  <si>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</si>
  <si>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</si>
  <si>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</si>
  <si>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</si>
  <si>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</si>
  <si>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</si>
  <si>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</si>
  <si>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</si>
  <si>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</si>
  <si>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</si>
  <si>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</si>
  <si>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</si>
  <si>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</si>
  <si>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</si>
  <si>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</si>
  <si>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</si>
  <si>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</si>
  <si>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</si>
  <si>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</si>
  <si>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</si>
  <si>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</si>
  <si>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</si>
  <si>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</si>
  <si>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</si>
  <si>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</si>
  <si>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</si>
  <si>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</si>
  <si>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</si>
  <si>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</si>
  <si>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</si>
  <si>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</si>
  <si>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</si>
  <si>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</si>
  <si>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</si>
  <si>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</si>
  <si>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</si>
  <si>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</si>
  <si>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</si>
  <si>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</si>
  <si>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</si>
  <si>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</si>
  <si>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</si>
  <si>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</si>
  <si>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星期四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</si>
  <si>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</si>
  <si>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</si>
  <si>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</si>
  <si>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</si>
  <si>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</si>
  <si>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</si>
  <si>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</si>
  <si>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</si>
  <si>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</si>
  <si>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</si>
  <si>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</si>
  <si>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</si>
  <si>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</si>
  <si>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</si>
  <si>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</si>
  <si>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</si>
  <si>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</si>
  <si>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</si>
  <si>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</si>
  <si>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</si>
  <si>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</si>
  <si>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</si>
  <si>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</si>
  <si>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</si>
  <si>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</si>
  <si>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</si>
  <si>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</si>
  <si>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</si>
  <si>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</si>
  <si>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</si>
  <si>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</si>
  <si>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</si>
  <si>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</si>
  <si>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</si>
  <si>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</si>
  <si>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</si>
  <si>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</si>
  <si>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</si>
  <si>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</si>
  <si>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</si>
  <si>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</si>
  <si>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</si>
  <si>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</si>
  <si>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</si>
  <si>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</si>
  <si>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</si>
  <si>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</si>
  <si>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</si>
  <si>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</si>
  <si>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</si>
  <si>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</si>
  <si>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</si>
  <si>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</si>
  <si>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</si>
  <si>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</si>
  <si>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</si>
  <si>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</si>
  <si>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</si>
  <si>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</si>
  <si>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</si>
  <si>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</si>
  <si>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</si>
  <si>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</si>
  <si>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</si>
  <si>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</si>
  <si>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</si>
  <si>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</si>
  <si>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</si>
  <si>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</si>
  <si>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</si>
  <si>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</si>
  <si>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</si>
  <si>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</si>
  <si>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</si>
  <si>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</si>
  <si>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</si>
  <si>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</si>
  <si>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</si>
  <si>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</si>
  <si>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</si>
  <si>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</si>
  <si>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</si>
  <si>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</si>
  <si>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</si>
  <si>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</si>
  <si>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</si>
  <si>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</si>
  <si>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</si>
  <si>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</si>
  <si>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</si>
  <si>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</si>
  <si>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</si>
  <si>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</si>
  <si>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</si>
  <si>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</si>
  <si>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</si>
  <si>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</si>
  <si>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</si>
  <si>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</si>
  <si>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</si>
  <si>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</si>
  <si>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</si>
  <si>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</si>
  <si>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</si>
  <si>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</si>
  <si>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</si>
  <si>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</si>
  <si>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</si>
  <si>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</si>
  <si>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</si>
  <si>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</si>
  <si>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</si>
  <si>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</si>
  <si>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</si>
  <si>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</si>
  <si>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</si>
  <si>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</si>
  <si>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</si>
  <si>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</si>
  <si>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</si>
  <si>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</si>
  <si>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</si>
  <si>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</si>
  <si>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</si>
  <si>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</si>
  <si>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</si>
  <si>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</si>
  <si>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</si>
  <si>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</si>
  <si>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</si>
  <si>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</si>
  <si>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</si>
  <si>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</si>
  <si>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</si>
  <si>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</si>
  <si>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</si>
  <si>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</si>
  <si>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</si>
  <si>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</si>
  <si>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</si>
  <si>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</si>
  <si>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</si>
  <si>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</si>
  <si>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</si>
  <si>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</si>
  <si>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</si>
  <si>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</si>
  <si>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</si>
  <si>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</si>
  <si>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</si>
  <si>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</si>
  <si>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</si>
  <si>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</si>
  <si>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</si>
  <si>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</si>
  <si>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</si>
  <si>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</si>
  <si>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</si>
  <si>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</si>
  <si>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</si>
  <si>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</si>
  <si>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</si>
  <si>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</si>
  <si>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</si>
  <si>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</si>
  <si>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</si>
  <si>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</si>
  <si>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</si>
  <si>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</si>
  <si>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</si>
  <si>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</si>
  <si>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</si>
  <si>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</si>
  <si>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</si>
  <si>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</si>
  <si>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</si>
  <si>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</si>
  <si>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</si>
  <si>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</si>
  <si>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</si>
  <si>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</si>
  <si>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</si>
  <si>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</si>
  <si>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</si>
  <si>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</si>
  <si>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</si>
  <si>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</si>
  <si>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</si>
  <si>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</si>
  <si>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</si>
  <si>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</si>
  <si>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</si>
  <si>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</si>
  <si>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</si>
  <si>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</si>
  <si>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</si>
  <si>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</si>
  <si>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</si>
  <si>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</si>
  <si>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</si>
  <si>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</si>
  <si>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</si>
  <si>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</si>
  <si>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</si>
  <si>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</si>
  <si>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</si>
  <si>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</si>
  <si>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</si>
  <si>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</si>
  <si>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</si>
  <si>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星期六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</si>
  <si>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</si>
  <si>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</si>
  <si>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</si>
  <si>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</si>
  <si>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</si>
  <si>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</si>
  <si>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</si>
  <si>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</si>
  <si>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</si>
  <si>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</si>
  <si>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</si>
  <si>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</si>
  <si>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</si>
  <si>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</si>
  <si>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</si>
  <si>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</si>
  <si>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</si>
  <si>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</si>
  <si>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</si>
  <si>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</si>
  <si>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</si>
  <si>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</si>
  <si>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</si>
  <si>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</si>
  <si>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</si>
  <si>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</si>
  <si>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</si>
  <si>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</si>
  <si>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</si>
  <si>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</si>
  <si>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</si>
  <si>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</si>
  <si>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</si>
  <si>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</si>
  <si>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</si>
  <si>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</si>
  <si>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</si>
  <si>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</si>
  <si>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</si>
  <si>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</si>
  <si>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</si>
  <si>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</si>
  <si>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</si>
  <si>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</si>
  <si>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</si>
  <si>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</si>
  <si>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</si>
  <si>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</si>
  <si>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</si>
  <si>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</si>
  <si>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</si>
  <si>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</si>
  <si>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</si>
  <si>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</si>
  <si>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</si>
  <si>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</si>
  <si>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</si>
  <si>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</si>
  <si>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</si>
  <si>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</si>
  <si>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</si>
  <si>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</si>
  <si>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</si>
  <si>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</si>
  <si>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</si>
  <si>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</si>
  <si>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</si>
  <si>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</si>
  <si>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</si>
  <si>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</si>
  <si>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</si>
  <si>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</si>
  <si>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</si>
  <si>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</si>
  <si>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</si>
  <si>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</si>
  <si>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</si>
  <si>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</si>
  <si>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</si>
  <si>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</si>
  <si>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星期日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</si>
  <si>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</si>
  <si>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</si>
  <si>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</si>
  <si>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</si>
  <si>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</si>
  <si>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</si>
  <si>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</si>
  <si>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</si>
  <si>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</si>
  <si>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</si>
  <si>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</si>
  <si>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</si>
  <si>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</si>
  <si>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</si>
  <si>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</si>
  <si>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</si>
  <si>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</si>
  <si>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</si>
  <si>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</si>
  <si>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</si>
  <si>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</si>
  <si>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</si>
  <si>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</si>
  <si>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</si>
  <si>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</si>
  <si>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</si>
  <si>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</si>
  <si>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</si>
  <si>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</si>
  <si>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</si>
  <si>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</si>
  <si>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</si>
  <si>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</si>
  <si>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</si>
  <si>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</si>
  <si>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</si>
  <si>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</si>
  <si>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</si>
  <si>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</si>
  <si>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</si>
  <si>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</si>
  <si>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</si>
  <si>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</si>
  <si>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</si>
  <si>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</si>
  <si>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</si>
  <si>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</si>
  <si>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</si>
  <si>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</si>
  <si>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</si>
  <si>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</si>
  <si>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</si>
  <si>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</si>
  <si>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</si>
  <si>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</si>
  <si>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</si>
  <si>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</si>
  <si>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</si>
  <si>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</si>
  <si>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</si>
  <si>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</si>
  <si>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</si>
  <si>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</si>
  <si>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</si>
  <si>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</si>
  <si>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</si>
  <si>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</si>
  <si>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</si>
  <si>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</si>
  <si>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</si>
  <si>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</si>
  <si>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</si>
  <si>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</si>
  <si>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</si>
  <si>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</si>
  <si>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</si>
  <si>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</si>
  <si>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</si>
  <si>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</si>
  <si>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</si>
  <si>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</si>
  <si>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</si>
  <si>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</si>
  <si>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</si>
  <si>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</si>
  <si>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</si>
  <si>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</si>
  <si>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</si>
  <si>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</si>
  <si>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</si>
  <si>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</si>
  <si>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</si>
  <si>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</si>
  <si>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</si>
  <si>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</si>
  <si>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</si>
  <si>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</si>
  <si>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</si>
  <si>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</si>
  <si>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</si>
  <si>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</si>
  <si>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</si>
  <si>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</si>
  <si>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</si>
  <si>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</si>
  <si>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</si>
  <si>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</si>
  <si>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</si>
  <si>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</si>
  <si>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</si>
  <si>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</si>
  <si>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</si>
  <si>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</si>
  <si>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</si>
  <si>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</si>
  <si>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</si>
  <si>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</si>
  <si>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</si>
  <si>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</si>
  <si>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</si>
  <si>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</si>
  <si>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</si>
  <si>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</si>
  <si>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</si>
  <si>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</si>
  <si>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</si>
  <si>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</si>
  <si>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</si>
  <si>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</si>
  <si>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</si>
  <si>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二配藤椒雞丁炒飯</t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</si>
  <si>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</si>
  <si>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</si>
  <si>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</si>
  <si>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</si>
  <si>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</si>
  <si>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</si>
  <si>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</si>
  <si>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</si>
  <si>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</si>
  <si>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</si>
  <si>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</si>
  <si>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</si>
  <si>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</si>
  <si>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</si>
  <si>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</si>
  <si>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</si>
  <si>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</si>
  <si>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</si>
  <si>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</si>
  <si>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</si>
  <si>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</si>
  <si>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</si>
  <si>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</si>
  <si>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</si>
  <si>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</si>
  <si>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</si>
  <si>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</si>
  <si>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</si>
  <si>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</si>
  <si>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</si>
  <si>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</si>
  <si>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</si>
  <si>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</si>
  <si>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</si>
  <si>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</si>
  <si>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</si>
  <si>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</si>
  <si>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</si>
  <si>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</si>
  <si>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</si>
  <si>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</si>
  <si>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</si>
  <si>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</si>
  <si>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</si>
  <si>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</si>
  <si>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</si>
  <si>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</si>
  <si>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</si>
  <si>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</si>
  <si>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</si>
  <si>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</si>
  <si>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</si>
  <si>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</si>
  <si>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</si>
  <si>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</si>
  <si>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</si>
  <si>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</si>
  <si>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</si>
  <si>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</si>
  <si>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</si>
  <si>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</si>
  <si>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</si>
  <si>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</si>
  <si>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</si>
  <si>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</si>
  <si>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</si>
  <si>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</si>
  <si>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</si>
  <si>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</si>
  <si>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</si>
  <si>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</si>
  <si>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</si>
  <si>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</si>
  <si>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</si>
  <si>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</si>
  <si>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</si>
  <si>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</si>
  <si>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</si>
  <si>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</si>
  <si>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</si>
  <si>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</si>
  <si>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</si>
  <si>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</si>
  <si>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</si>
  <si>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</si>
  <si>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</si>
  <si>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</si>
  <si>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</si>
  <si>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</si>
  <si>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</si>
  <si>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</si>
  <si>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</si>
  <si>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</si>
  <si>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</si>
  <si>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</si>
  <si>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</si>
  <si>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</si>
  <si>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</si>
  <si>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</si>
  <si>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</si>
  <si>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</si>
  <si>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</si>
  <si>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</si>
  <si>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莎莎烤雞麵沙拉(115年)</t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</si>
  <si>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</si>
  <si>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</si>
  <si>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</si>
  <si>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起司芋見肉鬆三明治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</si>
  <si>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</si>
  <si>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</si>
  <si>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</si>
  <si>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</si>
  <si>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</si>
  <si>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</si>
  <si>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</si>
  <si>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</si>
  <si>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</si>
  <si>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</si>
  <si>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</si>
  <si>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</si>
  <si>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</si>
  <si>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</si>
  <si>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</si>
  <si>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</si>
  <si>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</si>
  <si>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</si>
  <si>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</si>
  <si>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</si>
  <si>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</si>
  <si>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</si>
  <si>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</si>
  <si>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</si>
  <si>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</si>
  <si>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</si>
  <si>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</si>
  <si>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</si>
  <si>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</si>
  <si>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</si>
  <si>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</si>
  <si>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</si>
  <si>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</si>
  <si>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</si>
  <si>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</si>
  <si>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</si>
  <si>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</si>
  <si>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</si>
  <si>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</si>
  <si>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</si>
  <si>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</si>
  <si>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</si>
  <si>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</si>
  <si>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</si>
  <si>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</si>
  <si>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</si>
  <si>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</si>
  <si>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</si>
  <si>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</si>
  <si>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</si>
  <si>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</si>
  <si>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</si>
  <si>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</si>
  <si>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</si>
  <si>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</si>
  <si>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</si>
  <si>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</si>
  <si>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</si>
  <si>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</si>
  <si>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</si>
  <si>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</si>
  <si>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</si>
  <si>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</si>
  <si>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</si>
  <si>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</si>
  <si>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</si>
  <si>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</si>
  <si>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</si>
  <si>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</si>
  <si>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</si>
  <si>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</si>
  <si>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</si>
  <si>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</si>
  <si>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</si>
  <si>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</si>
  <si>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</si>
  <si>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</si>
  <si>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</si>
  <si>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</si>
  <si>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</si>
  <si>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</si>
  <si>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</si>
  <si>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</si>
  <si>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</si>
  <si>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</si>
  <si>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</si>
  <si>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</si>
  <si>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</si>
  <si>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</si>
  <si>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</si>
  <si>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</si>
  <si>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</si>
  <si>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</si>
  <si>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</si>
  <si>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</si>
  <si>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</si>
  <si>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</si>
  <si>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</si>
  <si>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</si>
  <si>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</si>
  <si>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</si>
  <si>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</si>
  <si>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</si>
  <si>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</si>
  <si>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</si>
  <si>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</si>
  <si>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</si>
  <si>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</si>
  <si>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</si>
  <si>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</si>
  <si>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</si>
  <si>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</si>
  <si>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</si>
  <si>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</si>
  <si>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</si>
  <si>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</si>
  <si>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</si>
  <si>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</si>
  <si>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</si>
  <si>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</si>
  <si>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</si>
  <si>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</si>
  <si>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</si>
  <si>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</si>
  <si>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</si>
  <si>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</si>
  <si>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</si>
  <si>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</si>
  <si>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</si>
  <si>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</si>
  <si>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</si>
  <si>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</si>
  <si>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</si>
  <si>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</si>
  <si>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</si>
  <si>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</si>
  <si>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</si>
  <si>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</si>
  <si>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</si>
  <si>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</si>
  <si>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</si>
  <si>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</si>
  <si>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</si>
  <si>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</si>
  <si>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</si>
  <si>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</si>
  <si>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</si>
  <si>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</si>
  <si>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</si>
  <si>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</si>
  <si>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</si>
  <si>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</si>
  <si>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</si>
  <si>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</si>
  <si>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</si>
  <si>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</si>
  <si>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</si>
  <si>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</si>
  <si>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</si>
  <si>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</si>
  <si>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</si>
  <si>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</si>
  <si>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</si>
  <si>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</si>
  <si>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</si>
  <si>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</si>
  <si>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</si>
  <si>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</si>
  <si>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</si>
  <si>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</si>
  <si>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</si>
  <si>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</si>
  <si>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</si>
  <si>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</si>
  <si>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</si>
  <si>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</si>
  <si>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</si>
  <si>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</si>
  <si>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</si>
  <si>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</si>
  <si>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</si>
  <si>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</si>
  <si>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</si>
  <si>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</si>
  <si>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</si>
  <si>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</si>
  <si>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</si>
  <si>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</si>
  <si>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</si>
  <si>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</si>
  <si>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</si>
  <si>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</si>
  <si>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</si>
  <si>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</si>
  <si>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</si>
  <si>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</si>
  <si>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</si>
  <si>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</si>
  <si>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</si>
  <si>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</si>
  <si>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</si>
  <si>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</si>
  <si>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</si>
  <si>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</si>
  <si>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</si>
  <si>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</si>
  <si>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</si>
  <si>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</si>
  <si>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</si>
  <si>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</si>
  <si>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</si>
  <si>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</si>
  <si>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</si>
  <si>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</si>
  <si>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➀</t>
    <phoneticPr fontId="4" type="noConversion"/>
  </si>
  <si>
    <t>➂</t>
    <phoneticPr fontId="4" type="noConversion"/>
  </si>
  <si>
    <t>設備次數</t>
    <phoneticPr fontId="3" type="noConversion"/>
  </si>
  <si>
    <t>排關</t>
    <phoneticPr fontId="3" type="noConversion"/>
  </si>
  <si>
    <t>次數</t>
    <phoneticPr fontId="13" type="noConversion"/>
  </si>
  <si>
    <t>短暫停線
(5分鐘以下)</t>
    <phoneticPr fontId="13" type="noConversion"/>
  </si>
  <si>
    <t>次要應用設備</t>
    <phoneticPr fontId="3" type="noConversion"/>
  </si>
  <si>
    <t>握沙拉</t>
    <phoneticPr fontId="4" type="noConversion"/>
  </si>
  <si>
    <t>總生產量</t>
    <phoneticPr fontId="4" type="noConversion"/>
  </si>
  <si>
    <t>營業額</t>
    <phoneticPr fontId="7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</si>
  <si>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</si>
  <si>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</si>
  <si>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</si>
  <si>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</si>
  <si>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</si>
  <si>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</si>
  <si>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</si>
  <si>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</si>
  <si>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</si>
  <si>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</si>
  <si>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</si>
  <si>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</si>
  <si>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</si>
  <si>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</si>
  <si>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</si>
  <si>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</si>
  <si>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</si>
  <si>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</si>
  <si>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</si>
  <si>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</si>
  <si>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</si>
  <si>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</si>
  <si>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</si>
  <si>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</si>
  <si>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</si>
  <si>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</si>
  <si>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</si>
  <si>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</si>
  <si>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</si>
  <si>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</si>
  <si>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</si>
  <si>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</si>
  <si>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</si>
  <si>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</si>
  <si>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</si>
  <si>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</si>
  <si>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</si>
  <si>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</si>
  <si>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</si>
  <si>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</si>
  <si>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</si>
  <si>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</si>
  <si>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</si>
  <si>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</si>
  <si>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</si>
  <si>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</si>
  <si>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</si>
  <si>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</si>
  <si>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</si>
  <si>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</si>
  <si>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</si>
  <si>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</si>
  <si>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</si>
  <si>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</si>
  <si>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</si>
  <si>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</si>
  <si>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</si>
  <si>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</si>
  <si>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</si>
  <si>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</si>
  <si>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</si>
  <si>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</si>
  <si>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</si>
  <si>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</si>
  <si>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</si>
  <si>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</si>
  <si>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</si>
  <si>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</si>
  <si>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</si>
  <si>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</si>
  <si>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</si>
  <si>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</si>
  <si>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</si>
  <si>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</si>
  <si>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</si>
  <si>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</si>
  <si>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</si>
  <si>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>產線異常
分析說明(5分鐘以上)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</si>
  <si>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</si>
  <si>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</si>
  <si>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</si>
  <si>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</si>
  <si>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</si>
  <si>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</si>
  <si>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</si>
  <si>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</si>
  <si>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</si>
  <si>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</si>
  <si>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</si>
  <si>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</si>
  <si>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</si>
  <si>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</si>
  <si>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</si>
  <si>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</si>
  <si>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</si>
  <si>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</si>
  <si>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</si>
  <si>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</si>
  <si>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</si>
  <si>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</si>
  <si>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</si>
  <si>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</si>
  <si>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</si>
  <si>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</si>
  <si>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</si>
  <si>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</si>
  <si>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新豐1線</t>
    <phoneticPr fontId="4" type="noConversion"/>
  </si>
  <si>
    <t>新豐4線</t>
    <phoneticPr fontId="4" type="noConversion"/>
  </si>
  <si>
    <t>訂單量</t>
    <phoneticPr fontId="3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</si>
  <si>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</si>
  <si>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</si>
  <si>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</si>
  <si>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</si>
  <si>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</si>
  <si>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</si>
  <si>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</si>
  <si>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</si>
  <si>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</si>
  <si>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</si>
  <si>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開始</t>
    <phoneticPr fontId="3" type="noConversion"/>
  </si>
  <si>
    <t>次數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</si>
  <si>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</si>
  <si>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</si>
  <si>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</si>
  <si>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</si>
  <si>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</si>
  <si>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</si>
  <si>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</si>
  <si>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</si>
  <si>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</si>
  <si>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</si>
  <si>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</si>
  <si>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</si>
  <si>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</si>
  <si>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</si>
  <si>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</si>
  <si>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</si>
  <si>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</si>
  <si>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</si>
  <si>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</si>
  <si>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</si>
  <si>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</si>
  <si>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</si>
  <si>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</si>
  <si>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</si>
  <si>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</si>
  <si>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</si>
  <si>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</si>
  <si>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</si>
  <si>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</si>
  <si>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</si>
  <si>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</si>
  <si>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</si>
  <si>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</si>
  <si>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</si>
  <si>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</si>
  <si>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</si>
  <si>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</si>
  <si>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</si>
  <si>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</si>
  <si>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</si>
  <si>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</si>
  <si>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</si>
  <si>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</si>
  <si>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</si>
  <si>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</si>
  <si>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</si>
  <si>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</si>
  <si>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</si>
  <si>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</si>
  <si>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</si>
  <si>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</si>
  <si>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</si>
  <si>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</si>
  <si>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</si>
  <si>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</si>
  <si>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</si>
  <si>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</si>
  <si>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</si>
  <si>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</si>
  <si>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</si>
  <si>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</si>
  <si>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</si>
  <si>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</si>
  <si>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</si>
  <si>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</si>
  <si>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</si>
  <si>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</si>
  <si>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</si>
  <si>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</si>
  <si>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</si>
  <si>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</si>
  <si>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</si>
  <si>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</si>
  <si>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</si>
  <si>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</si>
  <si>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</si>
  <si>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</si>
  <si>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</si>
  <si>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</si>
  <si>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</si>
  <si>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</si>
  <si>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</si>
  <si>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</si>
  <si>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</si>
  <si>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</si>
  <si>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</si>
  <si>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</si>
  <si>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</si>
  <si>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</si>
  <si>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</si>
  <si>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</si>
  <si>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</si>
  <si>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</si>
  <si>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</si>
  <si>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</si>
  <si>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</si>
  <si>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</si>
  <si>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</si>
  <si>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</si>
  <si>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</si>
  <si>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</si>
  <si>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</si>
  <si>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</si>
  <si>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</si>
  <si>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</si>
  <si>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</si>
  <si>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</si>
  <si>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</si>
  <si>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</si>
  <si>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</si>
  <si>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</si>
  <si>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</si>
  <si>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</si>
  <si>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</si>
  <si>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線別</t>
    <phoneticPr fontId="3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</si>
  <si>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</si>
  <si>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</si>
  <si>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</si>
  <si>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</si>
  <si>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</si>
  <si>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</si>
  <si>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新豐1線</t>
    <phoneticPr fontId="4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</si>
  <si>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</si>
  <si>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</si>
  <si>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</si>
  <si>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➁</t>
    <phoneticPr fontId="4" type="noConversion"/>
  </si>
  <si>
    <t>短暫停線</t>
    <phoneticPr fontId="4" type="noConversion"/>
  </si>
  <si>
    <t>組合室</t>
    <phoneticPr fontId="3" type="noConversion"/>
  </si>
  <si>
    <t>設備次數</t>
    <phoneticPr fontId="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</si>
  <si>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</si>
  <si>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</si>
  <si>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</si>
  <si>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</si>
  <si>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</si>
  <si>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</si>
  <si>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</si>
  <si>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</si>
  <si>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</si>
  <si>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</si>
  <si>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</si>
  <si>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</si>
  <si>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</si>
  <si>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</si>
  <si>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</si>
  <si>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</si>
  <si>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</si>
  <si>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</si>
  <si>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</si>
  <si>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</si>
  <si>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</si>
  <si>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</si>
  <si>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</si>
  <si>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</si>
  <si>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</si>
  <si>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</si>
  <si>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</si>
  <si>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</si>
  <si>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</si>
  <si>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</si>
  <si>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</si>
  <si>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</si>
  <si>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</si>
  <si>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</si>
  <si>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</si>
  <si>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</si>
  <si>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</si>
  <si>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</si>
  <si>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</si>
  <si>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</si>
  <si>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</si>
  <si>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</si>
  <si>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</si>
  <si>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</si>
  <si>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</si>
  <si>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</si>
  <si>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</si>
  <si>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</si>
  <si>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炙烤醬香燒豚飯</t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</si>
  <si>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</si>
  <si>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</si>
  <si>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</si>
  <si>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</si>
  <si>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</si>
  <si>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</si>
  <si>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</si>
  <si>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</si>
  <si>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</si>
  <si>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</si>
  <si>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</si>
  <si>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</si>
  <si>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</si>
  <si>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</si>
  <si>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</si>
  <si>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</si>
  <si>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</si>
  <si>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</si>
  <si>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</si>
  <si>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</si>
  <si>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</si>
  <si>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</si>
  <si>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</si>
  <si>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</si>
  <si>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</si>
  <si>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</si>
  <si>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</si>
  <si>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</si>
  <si>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</si>
  <si>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</si>
  <si>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</si>
  <si>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</si>
  <si>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</si>
  <si>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</si>
  <si>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</si>
  <si>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</si>
  <si>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</si>
  <si>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</si>
  <si>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</si>
  <si>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</si>
  <si>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</si>
  <si>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</si>
  <si>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</si>
  <si>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</si>
  <si>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</si>
  <si>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</si>
  <si>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</si>
  <si>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</si>
  <si>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</si>
  <si>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</si>
  <si>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</si>
  <si>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</si>
  <si>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</si>
  <si>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</si>
  <si>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</si>
  <si>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</si>
  <si>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</si>
  <si>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</si>
  <si>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</si>
  <si>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</si>
  <si>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</si>
  <si>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</si>
  <si>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</si>
  <si>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</si>
  <si>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</si>
  <si>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</si>
  <si>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</si>
  <si>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</si>
  <si>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</si>
  <si>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</si>
  <si>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</si>
  <si>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</si>
  <si>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</si>
  <si>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</si>
  <si>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</si>
  <si>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</si>
  <si>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</si>
  <si>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</si>
  <si>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</si>
  <si>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</si>
  <si>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</si>
  <si>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</si>
  <si>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</si>
  <si>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</si>
  <si>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</si>
  <si>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</si>
  <si>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</si>
  <si>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</si>
  <si>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</si>
  <si>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</si>
  <si>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</si>
  <si>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</si>
  <si>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</si>
  <si>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</si>
  <si>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</si>
  <si>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</si>
  <si>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</si>
  <si>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</si>
  <si>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</si>
  <si>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</si>
  <si>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</si>
  <si>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</si>
  <si>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</si>
  <si>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</si>
  <si>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</si>
  <si>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</si>
  <si>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</si>
  <si>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</si>
  <si>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</si>
  <si>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</si>
  <si>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</si>
  <si>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</si>
  <si>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</si>
  <si>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</si>
  <si>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</si>
  <si>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</si>
  <si>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</si>
  <si>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</si>
  <si>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</si>
  <si>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</si>
  <si>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</si>
  <si>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</si>
  <si>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</si>
  <si>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</si>
  <si>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</si>
  <si>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</si>
  <si>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</si>
  <si>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</si>
  <si>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</si>
  <si>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</si>
  <si>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</si>
  <si>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</si>
  <si>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</si>
  <si>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</si>
  <si>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</si>
  <si>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</si>
  <si>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</si>
  <si>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</si>
  <si>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</si>
  <si>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</si>
  <si>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</si>
  <si>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</si>
  <si>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</si>
  <si>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</si>
  <si>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</si>
  <si>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</si>
  <si>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</si>
  <si>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</si>
  <si>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</si>
  <si>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</si>
  <si>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</si>
  <si>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</si>
  <si>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</si>
  <si>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</si>
  <si>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</si>
  <si>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</si>
  <si>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</si>
  <si>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</si>
  <si>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</si>
  <si>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</si>
  <si>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</si>
  <si>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</si>
  <si>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</si>
  <si>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</si>
  <si>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</si>
  <si>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</si>
  <si>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</si>
  <si>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</si>
  <si>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</si>
  <si>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</si>
  <si>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</si>
  <si>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</si>
  <si>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</si>
  <si>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</si>
  <si>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</si>
  <si>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</si>
  <si>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</si>
  <si>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</si>
  <si>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</si>
  <si>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</si>
  <si>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</si>
  <si>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</si>
  <si>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</si>
  <si>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</si>
  <si>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</si>
  <si>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</si>
  <si>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</si>
  <si>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</si>
  <si>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</si>
  <si>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</si>
  <si>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</si>
  <si>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</si>
  <si>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</si>
  <si>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</si>
  <si>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</si>
  <si>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</si>
  <si>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</si>
  <si>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</si>
  <si>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</si>
  <si>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</si>
  <si>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</si>
  <si>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</si>
  <si>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</si>
  <si>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</si>
  <si>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</si>
  <si>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</si>
  <si>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</si>
  <si>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</si>
  <si>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</si>
  <si>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</si>
  <si>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</si>
  <si>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</si>
  <si>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</si>
  <si>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</si>
  <si>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</si>
  <si>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</si>
  <si>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</si>
  <si>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</si>
  <si>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</si>
  <si>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</si>
  <si>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</si>
  <si>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</si>
  <si>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</si>
  <si>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</si>
  <si>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</si>
  <si>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</si>
  <si>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</si>
  <si>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</si>
  <si>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</si>
  <si>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</si>
  <si>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</si>
  <si>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</si>
  <si>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</si>
  <si>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</si>
  <si>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</si>
  <si>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</si>
  <si>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</si>
  <si>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</si>
  <si>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</si>
  <si>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</si>
  <si>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</si>
  <si>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</si>
  <si>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</si>
  <si>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</si>
  <si>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</si>
  <si>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</si>
  <si>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</si>
  <si>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</si>
  <si>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</si>
  <si>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</si>
  <si>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</si>
  <si>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</si>
  <si>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</si>
  <si>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</si>
  <si>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</si>
  <si>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</si>
  <si>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</si>
  <si>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</si>
  <si>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</si>
  <si>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</si>
  <si>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</si>
  <si>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</si>
  <si>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</si>
  <si>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</si>
  <si>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</si>
  <si>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</si>
  <si>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</si>
  <si>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</si>
  <si>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</si>
  <si>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</si>
  <si>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</si>
  <si>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</si>
  <si>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</si>
  <si>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</si>
  <si>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</si>
  <si>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</si>
  <si>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</si>
  <si>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</si>
  <si>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</si>
  <si>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</si>
  <si>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</si>
  <si>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</si>
  <si>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</si>
  <si>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</si>
  <si>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</si>
  <si>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</si>
  <si>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</si>
  <si>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</si>
  <si>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</si>
  <si>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</si>
  <si>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</si>
  <si>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</si>
  <si>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</si>
  <si>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</si>
  <si>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</si>
  <si>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</si>
  <si>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</si>
  <si>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</si>
  <si>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</si>
  <si>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</si>
  <si>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</si>
  <si>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</si>
  <si>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</si>
  <si>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</si>
  <si>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</si>
  <si>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</si>
  <si>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➂</t>
    <phoneticPr fontId="4" type="noConversion"/>
  </si>
  <si>
    <t>短暫停線</t>
    <phoneticPr fontId="4" type="noConversion"/>
  </si>
  <si>
    <t>全溫層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</si>
  <si>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</si>
  <si>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</si>
  <si>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</si>
  <si>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</si>
  <si>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</si>
  <si>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</si>
  <si>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</si>
  <si>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</si>
  <si>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</si>
  <si>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達成率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</si>
  <si>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</si>
  <si>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</si>
  <si>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</si>
  <si>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</si>
  <si>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</si>
  <si>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</si>
  <si>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</si>
  <si>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</si>
  <si>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</si>
  <si>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</si>
  <si>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</si>
  <si>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</si>
  <si>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</si>
  <si>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</si>
  <si>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</si>
  <si>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</si>
  <si>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</si>
  <si>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</si>
  <si>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</si>
  <si>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</si>
  <si>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</si>
  <si>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</si>
  <si>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</si>
  <si>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</si>
  <si>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</si>
  <si>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</si>
  <si>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</si>
  <si>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達成率平均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</si>
  <si>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</si>
  <si>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</si>
  <si>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</si>
  <si>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</si>
  <si>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</si>
  <si>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</si>
  <si>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</si>
  <si>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</si>
  <si>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</si>
  <si>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</si>
  <si>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</si>
  <si>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</si>
  <si>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</si>
  <si>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</si>
  <si>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</si>
  <si>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</si>
  <si>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</si>
  <si>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</si>
  <si>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</si>
  <si>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</si>
  <si>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</si>
  <si>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</si>
  <si>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</si>
  <si>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</si>
  <si>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</si>
  <si>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</si>
  <si>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</si>
  <si>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</si>
  <si>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</si>
  <si>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</si>
  <si>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</si>
  <si>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</si>
  <si>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</si>
  <si>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</si>
  <si>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</si>
  <si>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</si>
  <si>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</si>
  <si>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</si>
  <si>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</si>
  <si>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</si>
  <si>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</si>
  <si>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</si>
  <si>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</si>
  <si>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</si>
  <si>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</si>
  <si>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</si>
  <si>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</si>
  <si>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</si>
  <si>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</si>
  <si>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</si>
  <si>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</si>
  <si>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</si>
  <si>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</si>
  <si>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</si>
  <si>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</si>
  <si>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</si>
  <si>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</si>
  <si>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</si>
  <si>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</si>
  <si>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</si>
  <si>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</si>
  <si>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</si>
  <si>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</si>
  <si>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</si>
  <si>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</si>
  <si>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</si>
  <si>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</si>
  <si>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</si>
  <si>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</si>
  <si>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</si>
  <si>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</si>
  <si>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</si>
  <si>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</si>
  <si>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</si>
  <si>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</si>
  <si>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</si>
  <si>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</si>
  <si>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</si>
  <si>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</si>
  <si>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</si>
  <si>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</si>
  <si>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</si>
  <si>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</si>
  <si>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</si>
  <si>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</si>
  <si>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</si>
  <si>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</si>
  <si>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</si>
  <si>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</si>
  <si>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</si>
  <si>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</si>
  <si>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</si>
  <si>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</si>
  <si>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</si>
  <si>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</si>
  <si>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</si>
  <si>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</si>
  <si>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</si>
  <si>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</si>
  <si>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</si>
  <si>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</si>
  <si>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</si>
  <si>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</si>
  <si>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</si>
  <si>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</si>
  <si>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</si>
  <si>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</si>
  <si>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</si>
  <si>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</si>
  <si>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</si>
  <si>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</si>
  <si>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</si>
  <si>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</si>
  <si>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</si>
  <si>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➂</t>
    <phoneticPr fontId="4" type="noConversion"/>
  </si>
  <si>
    <t>③三明治-各編組展開</t>
    <phoneticPr fontId="3" type="noConversion"/>
  </si>
  <si>
    <t>➁4度C-各編組展開</t>
    <phoneticPr fontId="3" type="noConversion"/>
  </si>
  <si>
    <t>編組</t>
    <phoneticPr fontId="3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</si>
  <si>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</si>
  <si>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</si>
  <si>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</si>
  <si>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</si>
  <si>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</si>
  <si>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短暫停線
(5分鐘以下)</t>
    <phoneticPr fontId="13" type="noConversion"/>
  </si>
  <si>
    <t>設備次數</t>
    <phoneticPr fontId="1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</si>
  <si>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</si>
  <si>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</si>
  <si>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</si>
  <si>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</si>
  <si>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</si>
  <si>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</si>
  <si>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</si>
  <si>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</si>
  <si>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</si>
  <si>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</si>
  <si>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</si>
  <si>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</si>
  <si>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</si>
  <si>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</si>
  <si>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</si>
  <si>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</si>
  <si>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</si>
  <si>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</si>
  <si>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</si>
  <si>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</si>
  <si>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</si>
  <si>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</si>
  <si>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</si>
  <si>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</si>
  <si>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</si>
  <si>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</si>
  <si>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</si>
  <si>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</si>
  <si>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</si>
  <si>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</si>
  <si>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</si>
  <si>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</si>
  <si>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</si>
  <si>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</si>
  <si>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</si>
  <si>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</si>
  <si>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</si>
  <si>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</si>
  <si>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</si>
  <si>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</si>
  <si>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</si>
  <si>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</si>
  <si>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</si>
  <si>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</si>
  <si>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</si>
  <si>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</si>
  <si>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</si>
  <si>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</si>
  <si>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</si>
  <si>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</si>
  <si>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</si>
  <si>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</si>
  <si>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</si>
  <si>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</si>
  <si>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</si>
  <si>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</si>
  <si>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</si>
  <si>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</si>
  <si>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</si>
  <si>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</si>
  <si>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</si>
  <si>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</si>
  <si>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</si>
  <si>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</si>
  <si>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</si>
  <si>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</si>
  <si>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</si>
  <si>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</si>
  <si>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</si>
  <si>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</si>
  <si>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</si>
  <si>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</si>
  <si>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</si>
  <si>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</si>
  <si>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</si>
  <si>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</si>
  <si>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</si>
  <si>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</si>
  <si>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</si>
  <si>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</si>
  <si>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</si>
  <si>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</si>
  <si>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</si>
  <si>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</si>
  <si>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</si>
  <si>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</si>
  <si>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</si>
  <si>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</si>
  <si>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</si>
  <si>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</si>
  <si>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</si>
  <si>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</si>
  <si>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</si>
  <si>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</si>
  <si>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</si>
  <si>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</si>
  <si>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</si>
  <si>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</si>
  <si>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</si>
  <si>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</si>
  <si>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</si>
  <si>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</si>
  <si>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</si>
  <si>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</si>
  <si>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</si>
  <si>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</si>
  <si>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</si>
  <si>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</si>
  <si>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</si>
  <si>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</si>
  <si>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</si>
  <si>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</si>
  <si>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</si>
  <si>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</si>
  <si>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</si>
  <si>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</si>
  <si>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</si>
  <si>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</si>
  <si>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</si>
  <si>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</si>
  <si>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</si>
  <si>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</si>
  <si>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</si>
  <si>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</si>
  <si>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</si>
  <si>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</si>
  <si>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</si>
  <si>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</si>
  <si>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</si>
  <si>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</si>
  <si>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</si>
  <si>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</si>
  <si>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</si>
  <si>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</si>
  <si>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</si>
  <si>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</si>
  <si>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</si>
  <si>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</si>
  <si>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</si>
  <si>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</si>
  <si>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</si>
  <si>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</si>
  <si>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</si>
  <si>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</si>
  <si>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</si>
  <si>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五彩鮮蔬三明治</t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</si>
  <si>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</si>
  <si>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</si>
  <si>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</si>
  <si>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</si>
  <si>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</si>
  <si>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</si>
  <si>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</si>
  <si>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</si>
  <si>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</si>
  <si>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</si>
  <si>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</si>
  <si>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</si>
  <si>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</si>
  <si>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</si>
  <si>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</si>
  <si>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</si>
  <si>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</si>
  <si>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</si>
  <si>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</si>
  <si>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➂</t>
    <phoneticPr fontId="4" type="noConversion"/>
  </si>
  <si>
    <t>短暫停線</t>
    <phoneticPr fontId="4" type="noConversion"/>
  </si>
  <si>
    <t>合計次數</t>
    <phoneticPr fontId="4" type="noConversion"/>
  </si>
  <si>
    <t>時間</t>
    <phoneticPr fontId="3" type="noConversion"/>
  </si>
  <si>
    <t>溫層</t>
    <phoneticPr fontId="3" type="noConversion"/>
  </si>
  <si>
    <t>➁4度C-各編組展開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</si>
  <si>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</si>
  <si>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</si>
  <si>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</si>
  <si>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</si>
  <si>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</si>
  <si>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</si>
  <si>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</si>
  <si>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</si>
  <si>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</si>
  <si>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</si>
  <si>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</si>
  <si>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</si>
  <si>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</si>
  <si>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</si>
  <si>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</si>
  <si>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</si>
  <si>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</si>
  <si>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</si>
  <si>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</si>
  <si>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</si>
  <si>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</si>
  <si>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</si>
  <si>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</si>
  <si>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</si>
  <si>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</si>
  <si>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</si>
  <si>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</si>
  <si>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</si>
  <si>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</si>
  <si>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</si>
  <si>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</si>
  <si>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</si>
  <si>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</si>
  <si>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</si>
  <si>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</si>
  <si>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</si>
  <si>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</si>
  <si>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</si>
  <si>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</si>
  <si>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</si>
  <si>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</si>
  <si>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</si>
  <si>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</si>
  <si>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</si>
  <si>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</si>
  <si>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</si>
  <si>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</si>
  <si>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</si>
  <si>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</si>
  <si>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</si>
  <si>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</si>
  <si>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</si>
  <si>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</si>
  <si>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</si>
  <si>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</si>
  <si>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</si>
  <si>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</si>
  <si>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</si>
  <si>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</si>
  <si>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</si>
  <si>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</si>
  <si>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</si>
  <si>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</si>
  <si>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</si>
  <si>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</si>
  <si>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</si>
  <si>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</si>
  <si>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</si>
  <si>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</si>
  <si>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</si>
  <si>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</si>
  <si>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</si>
  <si>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</si>
  <si>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</si>
  <si>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</si>
  <si>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</si>
  <si>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</si>
  <si>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</si>
  <si>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</si>
  <si>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</si>
  <si>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</si>
  <si>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</si>
  <si>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</si>
  <si>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</si>
  <si>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</si>
  <si>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</si>
  <si>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</si>
  <si>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</si>
  <si>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</si>
  <si>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</si>
  <si>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</si>
  <si>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</si>
  <si>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</si>
  <si>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</si>
  <si>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</si>
  <si>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</si>
  <si>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</si>
  <si>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</si>
  <si>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</si>
  <si>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</si>
  <si>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</si>
  <si>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</si>
  <si>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</si>
  <si>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</si>
  <si>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</si>
  <si>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</si>
  <si>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</si>
  <si>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</si>
  <si>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</si>
  <si>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</si>
  <si>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</si>
  <si>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</si>
  <si>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</si>
  <si>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</si>
  <si>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</si>
  <si>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</si>
  <si>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</si>
  <si>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</si>
  <si>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</si>
  <si>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</si>
  <si>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</si>
  <si>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</si>
  <si>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</si>
  <si>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</si>
  <si>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</si>
  <si>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</si>
  <si>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</si>
  <si>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</si>
  <si>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</si>
  <si>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</si>
  <si>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</si>
  <si>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</si>
  <si>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</si>
  <si>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</si>
  <si>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</si>
  <si>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</si>
  <si>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</si>
  <si>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</si>
  <si>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</si>
  <si>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</si>
  <si>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</si>
  <si>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</si>
  <si>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</si>
  <si>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</si>
  <si>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</si>
  <si>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</si>
  <si>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</si>
  <si>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</si>
  <si>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</si>
  <si>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</si>
  <si>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</si>
  <si>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</si>
  <si>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</si>
  <si>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</si>
  <si>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</si>
  <si>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</si>
  <si>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</si>
  <si>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</si>
  <si>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</si>
  <si>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</si>
  <si>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</si>
  <si>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</si>
  <si>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</si>
  <si>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</si>
  <si>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</si>
  <si>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</si>
  <si>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</si>
  <si>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</si>
  <si>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</si>
  <si>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</si>
  <si>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</si>
  <si>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</si>
  <si>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</si>
  <si>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</si>
  <si>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</si>
  <si>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</si>
  <si>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</si>
  <si>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</si>
  <si>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</si>
  <si>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</si>
  <si>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</si>
  <si>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</si>
  <si>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</si>
  <si>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</si>
  <si>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</si>
  <si>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</si>
  <si>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</si>
  <si>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</si>
  <si>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</si>
  <si>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</si>
  <si>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</si>
  <si>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</si>
  <si>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</si>
  <si>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</si>
  <si>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</si>
  <si>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</si>
  <si>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</si>
  <si>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</si>
  <si>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</si>
  <si>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</si>
  <si>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</si>
  <si>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</si>
  <si>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</si>
  <si>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</si>
  <si>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</si>
  <si>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</si>
  <si>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</si>
  <si>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</si>
  <si>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</si>
  <si>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</si>
  <si>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</si>
  <si>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</si>
  <si>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</si>
  <si>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</si>
  <si>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</si>
  <si>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</si>
  <si>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</si>
  <si>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</si>
  <si>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</si>
  <si>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</si>
  <si>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</si>
  <si>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</si>
  <si>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</si>
  <si>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</si>
  <si>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</si>
  <si>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</si>
  <si>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</si>
  <si>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</si>
  <si>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</si>
  <si>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</si>
  <si>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</si>
  <si>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</si>
  <si>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</si>
  <si>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</si>
  <si>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</si>
  <si>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</si>
  <si>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</si>
  <si>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</si>
  <si>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</si>
  <si>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</si>
  <si>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</si>
  <si>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</si>
  <si>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</si>
  <si>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</si>
  <si>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</si>
  <si>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</si>
  <si>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</si>
  <si>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</si>
  <si>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</si>
  <si>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</si>
  <si>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</si>
  <si>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</si>
  <si>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</si>
  <si>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</si>
  <si>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</si>
  <si>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</si>
  <si>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</si>
  <si>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</si>
  <si>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</si>
  <si>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</si>
  <si>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</si>
  <si>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</si>
  <si>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</si>
  <si>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</si>
  <si>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</si>
  <si>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</si>
  <si>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</si>
  <si>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</si>
  <si>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</si>
  <si>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</si>
  <si>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</si>
  <si>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</si>
  <si>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</si>
  <si>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</si>
  <si>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</si>
  <si>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</si>
  <si>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</si>
  <si>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</si>
  <si>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</si>
  <si>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</si>
  <si>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</si>
  <si>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</si>
  <si>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</si>
  <si>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</si>
  <si>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</si>
  <si>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</si>
  <si>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</si>
  <si>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</si>
  <si>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</si>
  <si>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</si>
  <si>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</si>
  <si>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</si>
  <si>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</si>
  <si>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</si>
  <si>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</si>
  <si>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</si>
  <si>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</si>
  <si>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</si>
  <si>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</si>
  <si>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</si>
  <si>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</si>
  <si>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</si>
  <si>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</si>
  <si>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</si>
  <si>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</si>
  <si>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</si>
  <si>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</si>
  <si>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</si>
  <si>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</si>
  <si>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</si>
  <si>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</si>
  <si>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</si>
  <si>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</si>
  <si>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</si>
  <si>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</si>
  <si>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</si>
  <si>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</si>
  <si>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</si>
  <si>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</si>
  <si>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</si>
  <si>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</si>
  <si>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</si>
  <si>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</si>
  <si>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</si>
  <si>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</si>
  <si>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</si>
  <si>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</si>
  <si>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</si>
  <si>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</si>
  <si>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</si>
  <si>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</si>
  <si>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</si>
  <si>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</si>
  <si>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</si>
  <si>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</si>
  <si>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</si>
  <si>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</si>
  <si>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</si>
  <si>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</si>
  <si>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</si>
  <si>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</si>
  <si>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</si>
  <si>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</si>
  <si>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</si>
  <si>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</si>
  <si>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</si>
  <si>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</si>
  <si>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</si>
  <si>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</si>
  <si>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</si>
  <si>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</si>
  <si>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</si>
  <si>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</si>
  <si>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</si>
  <si>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</si>
  <si>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</si>
  <si>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</si>
  <si>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</si>
  <si>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</si>
  <si>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</si>
  <si>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</si>
  <si>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</si>
  <si>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</si>
  <si>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</si>
  <si>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</si>
  <si>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</si>
  <si>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</si>
  <si>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</si>
  <si>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</si>
  <si>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</si>
  <si>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</si>
  <si>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</si>
  <si>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</si>
  <si>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</si>
  <si>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</si>
  <si>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</si>
  <si>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</si>
  <si>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</si>
  <si>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</si>
  <si>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</si>
  <si>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</si>
  <si>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</si>
  <si>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</si>
  <si>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</si>
  <si>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</si>
  <si>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</si>
  <si>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</si>
  <si>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</si>
  <si>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</si>
  <si>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</si>
  <si>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</si>
  <si>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</si>
  <si>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</si>
  <si>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</si>
  <si>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</si>
  <si>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</si>
  <si>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</si>
  <si>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</si>
  <si>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</si>
  <si>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</si>
  <si>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</si>
  <si>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</si>
  <si>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</si>
  <si>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</si>
  <si>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</si>
  <si>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</si>
  <si>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</si>
  <si>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</si>
  <si>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</si>
  <si>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</si>
  <si>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</si>
  <si>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</si>
  <si>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</si>
  <si>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</si>
  <si>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</si>
  <si>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</si>
  <si>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</si>
  <si>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</si>
  <si>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</si>
  <si>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</si>
  <si>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</si>
  <si>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</si>
  <si>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</si>
  <si>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</si>
  <si>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</si>
  <si>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</si>
  <si>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</si>
  <si>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</si>
  <si>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</si>
  <si>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</si>
  <si>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</si>
  <si>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</si>
  <si>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</si>
  <si>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</si>
  <si>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</si>
  <si>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</si>
  <si>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</si>
  <si>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</si>
  <si>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</si>
  <si>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</si>
  <si>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</si>
  <si>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</si>
  <si>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</si>
  <si>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</si>
  <si>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</si>
  <si>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</si>
  <si>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</si>
  <si>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</si>
  <si>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</si>
  <si>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</si>
  <si>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</si>
  <si>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</si>
  <si>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</si>
  <si>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</si>
  <si>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</si>
  <si>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</si>
  <si>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</si>
  <si>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</si>
  <si>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</si>
  <si>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</si>
  <si>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</si>
  <si>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</si>
  <si>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</si>
  <si>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</si>
  <si>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</si>
  <si>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</si>
  <si>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</si>
  <si>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</si>
  <si>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</si>
  <si>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</si>
  <si>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</si>
  <si>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</si>
  <si>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</si>
  <si>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</si>
  <si>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</si>
  <si>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</si>
  <si>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</si>
  <si>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</si>
  <si>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</si>
  <si>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</si>
  <si>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</si>
  <si>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</si>
  <si>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</si>
  <si>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</si>
  <si>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</si>
  <si>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</si>
  <si>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</si>
  <si>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</si>
  <si>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</si>
  <si>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</si>
  <si>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</si>
  <si>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</si>
  <si>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</si>
  <si>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</si>
  <si>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</si>
  <si>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</si>
  <si>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</si>
  <si>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</si>
  <si>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</si>
  <si>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</si>
  <si>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</si>
  <si>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</si>
  <si>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</si>
  <si>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</si>
  <si>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</si>
  <si>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</si>
  <si>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</si>
  <si>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</si>
  <si>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</si>
  <si>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</si>
  <si>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</si>
  <si>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</si>
  <si>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</si>
  <si>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</si>
  <si>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</si>
  <si>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</si>
  <si>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</si>
  <si>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</si>
  <si>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</si>
  <si>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</si>
  <si>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</si>
  <si>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</si>
  <si>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</si>
  <si>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</si>
  <si>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</si>
  <si>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</si>
  <si>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</si>
  <si>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</si>
  <si>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</si>
  <si>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</si>
  <si>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</si>
  <si>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</si>
  <si>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</si>
  <si>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</si>
  <si>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</si>
  <si>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</si>
  <si>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</si>
  <si>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</si>
  <si>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</si>
  <si>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</si>
  <si>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</si>
  <si>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</si>
  <si>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</si>
  <si>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</si>
  <si>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</si>
  <si>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</si>
  <si>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</si>
  <si>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</si>
  <si>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</si>
  <si>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</si>
  <si>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</si>
  <si>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</si>
  <si>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</si>
  <si>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</si>
  <si>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</si>
  <si>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</si>
  <si>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</si>
  <si>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</si>
  <si>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</si>
  <si>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</si>
  <si>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</si>
  <si>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</si>
  <si>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</si>
  <si>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</si>
  <si>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</si>
  <si>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</si>
  <si>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</si>
  <si>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</si>
  <si>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</si>
  <si>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</si>
  <si>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</si>
  <si>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</si>
  <si>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</si>
  <si>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</si>
  <si>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</si>
  <si>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</si>
  <si>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</si>
  <si>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合計次數</t>
    <phoneticPr fontId="4" type="noConversion"/>
  </si>
  <si>
    <t>時間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</si>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</sst>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68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8" fontId="12" fillId="0" borderId="7" xfId="2" applyNumberFormat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/>
    </xf>
    <xf numFmtId="177" fontId="6" fillId="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181" fontId="6" fillId="0" borderId="1" xfId="1" applyNumberFormat="1" applyFont="1" applyFill="1" applyBorder="1" applyAlignment="1">
      <alignment horizontal="center" vertical="center"/>
    </xf>
    <xf numFmtId="182" fontId="6" fillId="0" borderId="1" xfId="1" applyNumberFormat="1" applyFont="1" applyFill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11" fillId="0" borderId="0" xfId="1" applyFont="1" applyFill="1">
      <alignment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10" fillId="0" borderId="4" xfId="2" applyFont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184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F3" sqref="F3:G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2688</v>
      </c>
      <c r="C3" s="601" t="str">
        <f>TEXT('0630 4度C'!A2,"yyyy.mm.ddaaaa")</f>
        <v>2026.06.30星期二</v>
      </c>
      <c r="D3" s="602"/>
      <c r="E3" s="39" t="s">
        <v>462</v>
      </c>
      <c r="F3" s="603">
        <f>'0630 4度C'!D1</f>
        <v>183717</v>
      </c>
      <c r="G3" s="604"/>
      <c r="H3" s="39" t="s">
        <v>2689</v>
      </c>
      <c r="I3" s="605">
        <f>'0630 4度C'!F1</f>
        <v>6251108.8900000015</v>
      </c>
      <c r="J3" s="606"/>
      <c r="K3" s="40"/>
      <c r="L3" s="41"/>
      <c r="M3" s="42"/>
      <c r="N3" s="42"/>
    </row>
    <row r="4" spans="2:17" ht="28.5" customHeight="1">
      <c r="B4" s="607" t="s">
        <v>2690</v>
      </c>
      <c r="C4" s="593" t="s">
        <v>2691</v>
      </c>
      <c r="D4" s="594"/>
      <c r="E4" s="610" t="s">
        <v>2692</v>
      </c>
      <c r="F4" s="611"/>
      <c r="G4" s="610" t="s">
        <v>95</v>
      </c>
      <c r="H4" s="611"/>
      <c r="I4" s="610" t="s">
        <v>96</v>
      </c>
      <c r="J4" s="611"/>
      <c r="K4" s="591" t="s">
        <v>97</v>
      </c>
      <c r="L4" s="592"/>
      <c r="M4" s="592" t="s">
        <v>74</v>
      </c>
      <c r="N4" s="592"/>
    </row>
    <row r="5" spans="2:17" ht="28.5" customHeight="1">
      <c r="B5" s="608"/>
      <c r="C5" s="593" t="s">
        <v>98</v>
      </c>
      <c r="D5" s="594"/>
      <c r="E5" s="593" t="s">
        <v>99</v>
      </c>
      <c r="F5" s="594"/>
      <c r="G5" s="595" t="s">
        <v>100</v>
      </c>
      <c r="H5" s="596"/>
      <c r="I5" s="597" t="s">
        <v>101</v>
      </c>
      <c r="J5" s="598"/>
      <c r="K5" s="43" t="s">
        <v>2693</v>
      </c>
      <c r="L5" s="44" t="s">
        <v>2694</v>
      </c>
      <c r="M5" s="43" t="s">
        <v>102</v>
      </c>
      <c r="N5" s="44" t="s">
        <v>103</v>
      </c>
    </row>
    <row r="6" spans="2:17" ht="28.5" customHeight="1">
      <c r="B6" s="608"/>
      <c r="C6" s="593" t="s">
        <v>58</v>
      </c>
      <c r="D6" s="594"/>
      <c r="E6" s="585">
        <f>AVERAGE(D13:M13)</f>
        <v>158.32762019561827</v>
      </c>
      <c r="F6" s="586">
        <f>AVERAGE(D31:O31,D13:J13)</f>
        <v>166.71540830580986</v>
      </c>
      <c r="G6" s="587">
        <f>AVERAGE(D13:J13)</f>
        <v>166.71540830580986</v>
      </c>
      <c r="H6" s="588"/>
      <c r="I6" s="587">
        <f>AVERAGE(K13:M13)</f>
        <v>138.75611460517121</v>
      </c>
      <c r="J6" s="588"/>
      <c r="K6" s="589">
        <f>'0630 4度C'!Y2</f>
        <v>0</v>
      </c>
      <c r="L6" s="574">
        <f>'0630 4度C'!Z2</f>
        <v>0</v>
      </c>
      <c r="M6" s="590">
        <f>'0630 4度C'!AC2</f>
        <v>58</v>
      </c>
      <c r="N6" s="574">
        <f>'0630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151.63496224333107</v>
      </c>
      <c r="F7" s="578">
        <f>AVERAGE(D32:O32,D14:J14)</f>
        <v>159.83092067926114</v>
      </c>
      <c r="G7" s="579">
        <f>AVERAGE(D14:J14)</f>
        <v>159.83092067926114</v>
      </c>
      <c r="H7" s="580"/>
      <c r="I7" s="579">
        <f>AVERAGE(K14:M14)</f>
        <v>132.51105922616088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0.95806485009296305</v>
      </c>
      <c r="F8" s="582">
        <f>AVERAGE(D15:J15,D33:O33)</f>
        <v>0.95934448027474328</v>
      </c>
      <c r="G8" s="583">
        <f>AVERAGE(D15:J15)</f>
        <v>0.95934448027474328</v>
      </c>
      <c r="H8" s="584"/>
      <c r="I8" s="583">
        <f>AVERAGE(K15:M15)</f>
        <v>0.95507904633547591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2695</v>
      </c>
      <c r="N9" s="42"/>
      <c r="O9" s="42"/>
      <c r="P9" s="42"/>
      <c r="Q9" s="42"/>
    </row>
    <row r="10" spans="2:17" ht="30" customHeight="1">
      <c r="B10" s="557" t="s">
        <v>2696</v>
      </c>
      <c r="C10" s="558"/>
      <c r="D10" s="559" t="s">
        <v>2697</v>
      </c>
      <c r="E10" s="560"/>
      <c r="F10" s="560"/>
      <c r="G10" s="560"/>
      <c r="H10" s="560"/>
      <c r="I10" s="560"/>
      <c r="J10" s="561"/>
      <c r="K10" s="562" t="s">
        <v>2698</v>
      </c>
      <c r="L10" s="563"/>
      <c r="M10" s="564"/>
      <c r="P10" s="48"/>
      <c r="Q10" s="48"/>
    </row>
    <row r="11" spans="2:17" ht="17.25" customHeight="1">
      <c r="B11" s="565" t="s">
        <v>2699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2700</v>
      </c>
      <c r="C13" s="55" t="s">
        <v>2701</v>
      </c>
      <c r="D13" s="56">
        <f>SUMIFS('0630 4度C'!$K:$K,'0630 4度C'!$A:$A,"新豐6線",'0630 4度C'!$B:$B,"平均")</f>
        <v>129.03225806451613</v>
      </c>
      <c r="E13" s="57">
        <f>SUMIFS('0630 4度C'!$K:$K,'0630 4度C'!$A:$A,"新豐2線",'0630 4度C'!$B:$B,"平均")</f>
        <v>86.206896551724142</v>
      </c>
      <c r="F13" s="58">
        <f>SUMIFS('0630 4度C'!$K:$K,'0630 4度C'!$A:$A,"新豐5線",'0630 4度C'!$B:$B,"平均")</f>
        <v>87.786259541984734</v>
      </c>
      <c r="G13" s="58">
        <f>SUMIFS('0630 4度C'!$K:$K,'0630 4度C'!$A:$A,"新豐7線",'0630 4度C'!$B:$B,"平均")</f>
        <v>119.99999999999999</v>
      </c>
      <c r="H13" s="58">
        <f>SUMIFS('0630 4度C'!$K:$K,'0630 4度C'!$A:$A,"新豐3線",'0630 4度C'!$B:$B,"平均")</f>
        <v>300</v>
      </c>
      <c r="I13" s="58">
        <f>SUMIFS('0630 4度C'!$K:$K,'0630 4度C'!$A:$A,"新豐1線",'0630 4度C'!$B:$B,"平均")</f>
        <v>119.65811965811965</v>
      </c>
      <c r="J13" s="59">
        <f>SUMIFS('0630 4度C'!$K:$K,'0630 4度C'!$A:$A,"新豐10線",'0630 4度C'!$B:$B,"平均")</f>
        <v>324.32432432432432</v>
      </c>
      <c r="K13" s="60">
        <f>SUMIFS('0630 4度C'!$K:$K,'0630 4度C'!$A:$A,"新豐8線",'0630 4度C'!$B:$B,"平均")</f>
        <v>137.14285714285714</v>
      </c>
      <c r="L13" s="61">
        <f>SUMIFS('0630 4度C'!$K:$K,'0630 4度C'!$A:$A,"新豐9線",'0630 4度C'!$B:$B,"平均")</f>
        <v>120.63492063492065</v>
      </c>
      <c r="M13" s="59">
        <f>SUMIFS('0630 4度C'!$K:$K,'0630 4度C'!$A:$A,"新豐4線",'0630 4度C'!$B:$B,"平均")</f>
        <v>158.49056603773585</v>
      </c>
    </row>
    <row r="14" spans="2:17" ht="39.6" customHeight="1">
      <c r="B14" s="570"/>
      <c r="C14" s="62" t="s">
        <v>111</v>
      </c>
      <c r="D14" s="63">
        <f>SUMIFS('0630 4度C'!$N:$N,'0630 4度C'!$A:$A,"新豐6線",'0630 4度C'!$B:$B,"平均")</f>
        <v>124.49083547256781</v>
      </c>
      <c r="E14" s="64">
        <f>SUMIFS('0630 4度C'!$N:$N,'0630 4度C'!$A:$A,"新豐2線",'0630 4度C'!$B:$B,"平均")</f>
        <v>82.386731408830769</v>
      </c>
      <c r="F14" s="64">
        <f>SUMIFS('0630 4度C'!$N:$N,'0630 4度C'!$A:$A,"新豐5線",'0630 4度C'!$B:$B,"平均")</f>
        <v>84.50875427399356</v>
      </c>
      <c r="G14" s="64">
        <f>SUMIFS('0630 4度C'!$N:$N,'0630 4度C'!$A:$A,"新豐7線",'0630 4度C'!$B:$B,"平均")</f>
        <v>115.28642670471795</v>
      </c>
      <c r="H14" s="64">
        <f>SUMIFS('0630 4度C'!$N:$N,'0630 4度C'!$A:$A,"新豐3線",'0630 4度C'!$B:$B,"平均")</f>
        <v>287.05904761904765</v>
      </c>
      <c r="I14" s="64">
        <f>SUMIFS('0630 4度C'!$N:$N,'0630 4度C'!$A:$A,"新豐1線",'0630 4度C'!$B:$B,"平均")</f>
        <v>114.52726473112547</v>
      </c>
      <c r="J14" s="65">
        <f>SUMIFS('0630 4度C'!$N:$N,'0630 4度C'!$A:$A,"新豐10線",'0630 4度C'!$B:$B,"平均")</f>
        <v>310.55738454454479</v>
      </c>
      <c r="K14" s="66">
        <f>SUMIFS('0630 4度C'!$N:$N,'0630 4度C'!$A:$A,"新豐8線",'0630 4度C'!$B:$B,"平均")</f>
        <v>131.34792086064945</v>
      </c>
      <c r="L14" s="67">
        <f>SUMIFS('0630 4度C'!$N:$N,'0630 4度C'!$A:$A,"新豐9線",'0630 4度C'!$B:$B,"平均")</f>
        <v>115.14921160850339</v>
      </c>
      <c r="M14" s="65">
        <f>SUMIFS('0630 4度C'!$N:$N,'0630 4度C'!$A:$A,"新豐4線",'0630 4度C'!$B:$B,"平均")</f>
        <v>151.03604520932981</v>
      </c>
    </row>
    <row r="15" spans="2:17" ht="40.15" customHeight="1">
      <c r="B15" s="571"/>
      <c r="C15" s="68" t="s">
        <v>2702</v>
      </c>
      <c r="D15" s="69">
        <f t="shared" ref="D15:M15" si="0">D14/D13</f>
        <v>0.96480397491240055</v>
      </c>
      <c r="E15" s="70">
        <f t="shared" si="0"/>
        <v>0.95568608434243685</v>
      </c>
      <c r="F15" s="70">
        <f t="shared" si="0"/>
        <v>0.96266493999070923</v>
      </c>
      <c r="G15" s="70">
        <f t="shared" si="0"/>
        <v>0.96072022253931644</v>
      </c>
      <c r="H15" s="70">
        <f t="shared" si="0"/>
        <v>0.95686349206349219</v>
      </c>
      <c r="I15" s="70">
        <f t="shared" si="0"/>
        <v>0.95712071239583441</v>
      </c>
      <c r="J15" s="71">
        <f t="shared" si="0"/>
        <v>0.95755193567901309</v>
      </c>
      <c r="K15" s="69">
        <f t="shared" si="0"/>
        <v>0.95774525627556895</v>
      </c>
      <c r="L15" s="70">
        <f t="shared" si="0"/>
        <v>0.95452635938627806</v>
      </c>
      <c r="M15" s="71">
        <f t="shared" si="0"/>
        <v>0.95296552334458096</v>
      </c>
    </row>
    <row r="16" spans="2:17" ht="17.25" customHeight="1">
      <c r="B16" s="572" t="s">
        <v>113</v>
      </c>
      <c r="C16" s="72" t="s">
        <v>2703</v>
      </c>
      <c r="D16" s="73">
        <f>VLOOKUP("新豐6線",'0630 4度C'!$A:$T,19,0)</f>
        <v>0.70833333333333337</v>
      </c>
      <c r="E16" s="74">
        <f>VLOOKUP("新豐2線",'0630 4度C'!$A:$T,19,0)</f>
        <v>0.125</v>
      </c>
      <c r="F16" s="74">
        <f>VLOOKUP("新豐5線",'0630 4度C'!$A:$T,19,0)</f>
        <v>8.3333333333333329E-2</v>
      </c>
      <c r="G16" s="74">
        <f>VLOOKUP("新豐7線",'0630 4度C'!$A:$T,19,0)</f>
        <v>0.20833333333333334</v>
      </c>
      <c r="H16" s="74">
        <f>VLOOKUP("新豐3線",'0630 4度C'!$A:$T,19,0)</f>
        <v>0.20833333333333334</v>
      </c>
      <c r="I16" s="74">
        <f>VLOOKUP("新豐1線",'0630 4度C'!$A:$T,19,0)</f>
        <v>0.16666666666666666</v>
      </c>
      <c r="J16" s="75">
        <f>VLOOKUP("新豐10線",'0630 4度C'!$A:$T,19,0)</f>
        <v>0.20833333333333334</v>
      </c>
      <c r="K16" s="76">
        <f>VLOOKUP("新豐8線",'0630 4度C'!$A:$T,19,0)</f>
        <v>8.3333333333333329E-2</v>
      </c>
      <c r="L16" s="77">
        <f>VLOOKUP("新豐9線",'0630 4度C'!$A:$T,19,0)</f>
        <v>8.3333333333333329E-2</v>
      </c>
      <c r="M16" s="78">
        <f>VLOOKUP("新豐4線",'0630 4度C'!$A:$T,19,0)</f>
        <v>8.3333333333333329E-2</v>
      </c>
    </row>
    <row r="17" spans="2:13" ht="17.25" customHeight="1">
      <c r="B17" s="573"/>
      <c r="C17" s="72" t="s">
        <v>2704</v>
      </c>
      <c r="D17" s="76">
        <f>LOOKUP(2,1/(('0630 4度C'!$A:$A="新豐6線")*('0630 4度C'!$T:$T&lt;&gt;"")),'0630 4度C'!$T:$T)</f>
        <v>0.89722222222222225</v>
      </c>
      <c r="E17" s="74">
        <f>LOOKUP(2,1/(('0630 4度C'!$A:$A="新豐2線")*('0630 4度C'!$T:$T&lt;&gt;"")),'0630 4度C'!$T:$T)</f>
        <v>0.65763888888888877</v>
      </c>
      <c r="F17" s="74">
        <f>LOOKUP(2,1/(('0630 4度C'!$A:$A="新豐5線")*('0630 4度C'!$T:$T&lt;&gt;"")),'0630 4度C'!$T:$T)</f>
        <v>0.79374999999999996</v>
      </c>
      <c r="G17" s="74">
        <f>LOOKUP(2,1/(('0630 4度C'!$A:$A="新豐7線")*('0630 4度C'!$T:$T&lt;&gt;"")),'0630 4度C'!$T:$T)</f>
        <v>0.82777777777777772</v>
      </c>
      <c r="H17" s="74">
        <f>LOOKUP(2,1/(('0630 4度C'!$A:$A="新豐3線")*('0630 4度C'!$T:$T&lt;&gt;"")),'0630 4度C'!$T:$T)</f>
        <v>0.44513888888888892</v>
      </c>
      <c r="I17" s="74">
        <f>LOOKUP(2,1/(('0630 4度C'!$A:$A="新豐1線")*('0630 4度C'!$T:$T&lt;&gt;"")),'0630 4度C'!$T:$T)</f>
        <v>0.84236111111111112</v>
      </c>
      <c r="J17" s="75">
        <f>LOOKUP(2,1/(('0630 4度C'!$A:$A="新豐10線")*('0630 4度C'!$T:$T&lt;&gt;"")),'0630 4度C'!$T:$T)</f>
        <v>0.44583333333333336</v>
      </c>
      <c r="K17" s="73">
        <f>LOOKUP(2,1/(('0630 4度C'!$A:$A="新豐8線")*('0630 4度C'!$T:$T&lt;&gt;"")),'0630 4度C'!$T:$T)</f>
        <v>0.71944444444444433</v>
      </c>
      <c r="L17" s="74">
        <f>LOOKUP(2,1/(('0630 4度C'!$A:$A="新豐9線")*('0630 4度C'!$T:$T&lt;&gt;"")),'0630 4度C'!$T:$T)</f>
        <v>0.6729166666666665</v>
      </c>
      <c r="M17" s="75">
        <f>LOOKUP(2,1/(('0630 4度C'!$A:$A="新豐4線")*('0630 4度C'!$T:$T&lt;&gt;"")),'0630 4度C'!$T:$T)</f>
        <v>0.71180555555555547</v>
      </c>
    </row>
    <row r="18" spans="2:13" ht="17.25" customHeight="1">
      <c r="B18" s="551" t="s">
        <v>2705</v>
      </c>
      <c r="C18" s="79" t="s">
        <v>2706</v>
      </c>
      <c r="D18" s="80">
        <f>SUMIFS('0630 4度C'!$Y:$Y,'0630 4度C'!$A:$A,"新豐6線",'0630 4度C'!$B:$B,"平均")</f>
        <v>0</v>
      </c>
      <c r="E18" s="81">
        <f>SUMIFS('0630 4度C'!$Y:$Y,'0630 4度C'!$A:$A,"新豐2線",'0630 4度C'!$B:$B,"平均")</f>
        <v>0</v>
      </c>
      <c r="F18" s="81">
        <f>SUMIFS('0630 4度C'!$Y:$Y,'0630 4度C'!$A:$A,"新豐5線",'0630 4度C'!$B:$B,"平均")</f>
        <v>0</v>
      </c>
      <c r="G18" s="81">
        <f>SUMIFS('0630 4度C'!$Y:$Y,'0630 4度C'!$A:$A,"新豐7線",'0630 4度C'!$B:$B,"平均")</f>
        <v>0</v>
      </c>
      <c r="H18" s="81">
        <f>SUMIFS('0630 4度C'!$Y:$Y,'0630 4度C'!$A:$A,"新豐3線",'0630 4度C'!$B:$B,"平均")</f>
        <v>0</v>
      </c>
      <c r="I18" s="81">
        <f>SUMIFS('0630 4度C'!$Y:$Y,'0630 4度C'!$A:$A,"新豐1線",'0630 4度C'!$B:$B,"平均")</f>
        <v>0</v>
      </c>
      <c r="J18" s="82">
        <f>SUMIFS('0630 4度C'!$Y:$Y,'0630 4度C'!$A:$A,"新豐10線",'0630 4度C'!$B:$B,"平均")</f>
        <v>0</v>
      </c>
      <c r="K18" s="83">
        <f>SUMIFS('0630 4度C'!$Y:$Y,'0630 4度C'!$A:$A,"新豐8線",'0630 4度C'!$B:$B,"平均")</f>
        <v>0</v>
      </c>
      <c r="L18" s="81">
        <f>SUMIFS('0630 4度C'!$Y:$Y,'0630 4度C'!$A:$A,"新豐9線",'0630 4度C'!$B:$B,"平均")</f>
        <v>0</v>
      </c>
      <c r="M18" s="82">
        <f>SUMIFS('0630 4度C'!$Y:$Y,'0630 4度C'!$A:$A,"新豐4線",'0630 4度C'!$B:$B,"平均")</f>
        <v>0</v>
      </c>
    </row>
    <row r="19" spans="2:13" ht="17.25" customHeight="1">
      <c r="B19" s="552"/>
      <c r="C19" s="79" t="s">
        <v>2707</v>
      </c>
      <c r="D19" s="80">
        <f>SUMIFS('0630 4度C'!$Z:$Z,'0630 4度C'!$A:$A,"新豐6線",'0630 4度C'!$B:$B,"平均")</f>
        <v>0</v>
      </c>
      <c r="E19" s="81">
        <f>SUMIFS('0630 4度C'!$Z:$Z,'0630 4度C'!$A:$A,"新豐2線",'0630 4度C'!$B:$B,"平均")</f>
        <v>0</v>
      </c>
      <c r="F19" s="81">
        <f>SUMIFS('0630 4度C'!$Z:$Z,'0630 4度C'!$A:$A,"新豐5線",'0630 4度C'!$B:$B,"平均")</f>
        <v>0</v>
      </c>
      <c r="G19" s="81">
        <f>SUMIFS('0630 4度C'!$Z:$Z,'0630 4度C'!$A:$A,"新豐7線",'0630 4度C'!$B:$B,"平均")</f>
        <v>0</v>
      </c>
      <c r="H19" s="81">
        <f>SUMIFS('0630 4度C'!$Z:$Z,'0630 4度C'!$A:$A,"新豐3線",'0630 4度C'!$B:$B,"平均")</f>
        <v>0</v>
      </c>
      <c r="I19" s="81">
        <f>SUMIFS('0630 4度C'!$Z:$Z,'0630 4度C'!$A:$A,"新豐1線",'0630 4度C'!$B:$B,"平均")</f>
        <v>0</v>
      </c>
      <c r="J19" s="82">
        <f>SUMIFS('0630 4度C'!$Z:$Z,'0630 4度C'!$A:$A,"新豐10線",'0630 4度C'!$B:$B,"平均")</f>
        <v>0</v>
      </c>
      <c r="K19" s="83">
        <f>SUMIFS('0630 4度C'!$Z:$Z,'0630 4度C'!$A:$A,"新豐8線",'0630 4度C'!$B:$B,"平均")</f>
        <v>0</v>
      </c>
      <c r="L19" s="81">
        <f>SUMIFS('0630 4度C'!$Z:$Z,'0630 4度C'!$A:$A,"新豐9線",'0630 4度C'!$B:$B,"平均")</f>
        <v>0</v>
      </c>
      <c r="M19" s="82">
        <f>SUMIFS('0630 4度C'!$Z:$Z,'0630 4度C'!$A:$A,"新豐4線",'0630 4度C'!$B:$B,"平均")</f>
        <v>0</v>
      </c>
    </row>
    <row r="20" spans="2:13" ht="17.25" customHeight="1">
      <c r="B20" s="551" t="s">
        <v>2708</v>
      </c>
      <c r="C20" s="79" t="s">
        <v>2706</v>
      </c>
      <c r="D20" s="80">
        <f>SUMIFS('0630 4度C'!$AC:$AC,'0630 4度C'!$A:$A,"新豐6線",'0630 4度C'!$B:$B,"平均")</f>
        <v>4</v>
      </c>
      <c r="E20" s="81">
        <f>SUMIFS('0630 4度C'!$AC:$AC,'0630 4度C'!$A:$A,"新豐2線",'0630 4度C'!$B:$B,"平均")</f>
        <v>5</v>
      </c>
      <c r="F20" s="81">
        <f>SUMIFS('0630 4度C'!$AC:$AC,'0630 4度C'!$A:$A,"新豐5線",'0630 4度C'!$B:$B,"平均")</f>
        <v>7</v>
      </c>
      <c r="G20" s="81">
        <f>SUMIFS('0630 4度C'!$AC:$AC,'0630 4度C'!$A:$A,"新豐7線",'0630 4度C'!$B:$B,"平均")</f>
        <v>6</v>
      </c>
      <c r="H20" s="81">
        <f>SUMIFS('0630 4度C'!$AC:$AC,'0630 4度C'!$A:$A,"新豐3線",'0630 4度C'!$B:$B,"平均")</f>
        <v>3</v>
      </c>
      <c r="I20" s="81">
        <f>SUMIFS('0630 4度C'!$AC:$AC,'0630 4度C'!$A:$A,"新豐1線",'0630 4度C'!$B:$B,"平均")</f>
        <v>7</v>
      </c>
      <c r="J20" s="82">
        <f>SUMIFS('0630 4度C'!$AC:$AC,'0630 4度C'!$A:$A,"新豐10線",'0630 4度C'!$B:$B,"平均")</f>
        <v>4</v>
      </c>
      <c r="K20" s="83">
        <f>SUMIFS('0630 4度C'!$AC:$AC,'0630 4度C'!$A:$A,"新豐8線",'0630 4度C'!$B:$B,"平均")</f>
        <v>8</v>
      </c>
      <c r="L20" s="81">
        <f>SUMIFS('0630 4度C'!$AC:$AC,'0630 4度C'!$A:$A,"新豐9線",'0630 4度C'!$B:$B,"平均")</f>
        <v>7</v>
      </c>
      <c r="M20" s="82">
        <f>SUMIFS('0630 4度C'!$AC:$AC,'0630 4度C'!$A:$A,"新豐4線",'0630 4度C'!$B:$B,"平均")</f>
        <v>7</v>
      </c>
    </row>
    <row r="21" spans="2:13" ht="17.25" customHeight="1">
      <c r="B21" s="552"/>
      <c r="C21" s="79" t="s">
        <v>2709</v>
      </c>
      <c r="D21" s="80">
        <f>SUMIFS('0630 4度C'!$AD:$AD,'0630 4度C'!$A:$A,"新豐6線",'0630 4度C'!$B:$B,"平均")</f>
        <v>0</v>
      </c>
      <c r="E21" s="81">
        <f>SUMIFS('0630 4度C'!$AD:$AD,'0630 4度C'!$A:$A,"新豐2線",'0630 4度C'!$B:$B,"平均")</f>
        <v>0</v>
      </c>
      <c r="F21" s="81">
        <f>SUMIFS('0630 4度C'!$AD:$AD,'0630 4度C'!$A:$A,"新豐5線",'0630 4度C'!$B:$B,"平均")</f>
        <v>0</v>
      </c>
      <c r="G21" s="81">
        <f>SUMIFS('0630 4度C'!$AD:$AD,'0630 4度C'!$A:$A,"新豐7線",'0630 4度C'!$B:$B,"平均")</f>
        <v>0</v>
      </c>
      <c r="H21" s="81">
        <f>SUMIFS('0630 4度C'!$AD:$AD,'0630 4度C'!$A:$A,"新豐3線",'0630 4度C'!$B:$B,"平均")</f>
        <v>0</v>
      </c>
      <c r="I21" s="81">
        <f>SUMIFS('0630 4度C'!$AD:$AD,'0630 4度C'!$A:$A,"新豐1線",'0630 4度C'!$B:$B,"平均")</f>
        <v>0</v>
      </c>
      <c r="J21" s="82">
        <f>SUMIFS('0630 4度C'!$AD:$AD,'0630 4度C'!$A:$A,"新豐10線",'0630 4度C'!$B:$B,"平均")</f>
        <v>0</v>
      </c>
      <c r="K21" s="83">
        <f>SUMIFS('0630 4度C'!$AD:$AD,'0630 4度C'!$A:$A,"新豐8線",'0630 4度C'!$B:$B,"平均")</f>
        <v>0</v>
      </c>
      <c r="L21" s="81">
        <f>SUMIFS('0630 4度C'!$AD:$AD,'0630 4度C'!$A:$A,"新豐9線",'0630 4度C'!$B:$B,"平均")</f>
        <v>0</v>
      </c>
      <c r="M21" s="82">
        <f>SUMIFS('0630 4度C'!$AD:$AD,'0630 4度C'!$A:$A,"新豐4線",'0630 4度C'!$B:$B,"平均")</f>
        <v>0</v>
      </c>
    </row>
    <row r="22" spans="2:13" ht="17.25" customHeight="1">
      <c r="B22" s="553" t="s">
        <v>2710</v>
      </c>
      <c r="C22" s="554"/>
      <c r="D22" s="84">
        <f>SUMIFS('0630 4度C'!$I:$I,'0630 4度C'!$A:$A,"新豐6線",'0630 4度C'!$B:$B,"平均")</f>
        <v>15.5</v>
      </c>
      <c r="E22" s="85">
        <f>SUMIFS('0630 4度C'!$I:$I,'0630 4度C'!$A:$A,"新豐2線",'0630 4度C'!$B:$B,"平均")</f>
        <v>17.399999999999999</v>
      </c>
      <c r="F22" s="85">
        <f>SUMIFS('0630 4度C'!$I:$I,'0630 4度C'!$A:$A,"新豐5線",'0630 4度C'!$B:$B,"平均")</f>
        <v>18.714285714285715</v>
      </c>
      <c r="G22" s="85">
        <f>SUMIFS('0630 4度C'!$I:$I,'0630 4度C'!$A:$A,"新豐7線",'0630 4度C'!$B:$B,"平均")</f>
        <v>16.666666666666668</v>
      </c>
      <c r="H22" s="85">
        <f>SUMIFS('0630 4度C'!$I:$I,'0630 4度C'!$A:$A,"新豐3線",'0630 4度C'!$B:$B,"平均")</f>
        <v>10</v>
      </c>
      <c r="I22" s="85">
        <f>SUMIFS('0630 4度C'!$I:$I,'0630 4度C'!$A:$A,"新豐1線",'0630 4度C'!$B:$B,"平均")</f>
        <v>16.714285714285715</v>
      </c>
      <c r="J22" s="86">
        <f>SUMIFS('0630 4度C'!$I:$I,'0630 4度C'!$A:$A,"新豐10線",'0630 4度C'!$B:$B,"平均")</f>
        <v>9.25</v>
      </c>
      <c r="K22" s="84">
        <f>SUMIFS('0630 4度C'!$I:$I,'0630 4度C'!$A:$A,"新豐8線",'0630 4度C'!$B:$B,"平均")</f>
        <v>17.5</v>
      </c>
      <c r="L22" s="85">
        <f>SUMIFS('0630 4度C'!$I:$I,'0630 4度C'!$A:$A,"新豐9線",'0630 4度C'!$B:$B,"平均")</f>
        <v>18</v>
      </c>
      <c r="M22" s="86">
        <f>SUMIFS('0630 4度C'!$I:$I,'0630 4度C'!$A:$A,"新豐4線",'0630 4度C'!$B:$B,"平均")</f>
        <v>15.142857142857142</v>
      </c>
    </row>
    <row r="23" spans="2:13" ht="17.25" customHeight="1">
      <c r="B23" s="553" t="s">
        <v>2711</v>
      </c>
      <c r="C23" s="554"/>
      <c r="D23" s="87" t="s">
        <v>71</v>
      </c>
      <c r="E23" s="88" t="s">
        <v>72</v>
      </c>
      <c r="F23" s="88" t="s">
        <v>2712</v>
      </c>
      <c r="G23" s="88" t="s">
        <v>2712</v>
      </c>
      <c r="H23" s="88" t="s">
        <v>73</v>
      </c>
      <c r="I23" s="88" t="s">
        <v>71</v>
      </c>
      <c r="J23" s="89" t="s">
        <v>73</v>
      </c>
      <c r="K23" s="87" t="s">
        <v>2713</v>
      </c>
      <c r="L23" s="88" t="s">
        <v>2713</v>
      </c>
      <c r="M23" s="89" t="s">
        <v>2713</v>
      </c>
    </row>
    <row r="24" spans="2:13" ht="17.25" customHeight="1">
      <c r="B24" s="553" t="s">
        <v>2714</v>
      </c>
      <c r="C24" s="554"/>
      <c r="D24" s="87"/>
      <c r="E24" s="88"/>
      <c r="F24" s="88" t="s">
        <v>2715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2716</v>
      </c>
      <c r="C25" s="556"/>
      <c r="D25" s="90"/>
      <c r="E25" s="91" t="s">
        <v>2717</v>
      </c>
      <c r="F25" s="549" t="s">
        <v>2718</v>
      </c>
      <c r="G25" s="550"/>
      <c r="H25" s="91" t="s">
        <v>2719</v>
      </c>
      <c r="I25" s="91" t="s">
        <v>2720</v>
      </c>
      <c r="J25" s="92" t="s">
        <v>2719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3"/>
  <sheetViews>
    <sheetView zoomScale="80" zoomScaleNormal="80" workbookViewId="0">
      <pane ySplit="4" topLeftCell="A27" activePane="bottomLeft" state="frozen"/>
      <selection activeCell="F3" sqref="F3:G3"/>
      <selection pane="bottomLeft" activeCell="F3" sqref="F3:G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2721</v>
      </c>
      <c r="B1" s="1"/>
      <c r="C1" s="2" t="s">
        <v>2722</v>
      </c>
      <c r="D1" s="3">
        <f>SUM(F5:F72)</f>
        <v>183717</v>
      </c>
      <c r="E1" s="540" t="s">
        <v>2723</v>
      </c>
      <c r="F1" s="1">
        <f>SUM(G5:G72)</f>
        <v>6251108.8900000015</v>
      </c>
      <c r="G1" s="1" t="s">
        <v>2724</v>
      </c>
      <c r="H1" s="4">
        <f>L9+L15+L51+L59+L23+L64+L39+L47+L30+L72</f>
        <v>154.88809523809522</v>
      </c>
      <c r="I1" s="663" t="s">
        <v>2725</v>
      </c>
      <c r="J1" s="663"/>
      <c r="K1" s="663"/>
      <c r="L1" s="663" t="s">
        <v>2726</v>
      </c>
      <c r="M1" s="663"/>
      <c r="N1" s="663"/>
      <c r="O1" s="663" t="s">
        <v>2727</v>
      </c>
      <c r="P1" s="663"/>
      <c r="Q1" s="663"/>
      <c r="R1" s="663"/>
      <c r="S1" s="663" t="s">
        <v>2728</v>
      </c>
      <c r="T1" s="663"/>
      <c r="U1" s="663"/>
      <c r="V1" s="663"/>
      <c r="W1" s="663"/>
      <c r="X1" s="663"/>
      <c r="Y1" s="5" t="s">
        <v>2729</v>
      </c>
      <c r="Z1" s="6" t="s">
        <v>2730</v>
      </c>
      <c r="AA1" s="664" t="s">
        <v>2731</v>
      </c>
      <c r="AB1" s="664"/>
      <c r="AC1" s="188" t="s">
        <v>2729</v>
      </c>
      <c r="AD1" s="6" t="s">
        <v>2732</v>
      </c>
      <c r="AE1" s="663" t="s">
        <v>2733</v>
      </c>
      <c r="AF1" s="665"/>
      <c r="AG1" s="665"/>
    </row>
    <row r="2" spans="1:33" ht="26.25" customHeight="1">
      <c r="A2" s="27">
        <v>46203</v>
      </c>
      <c r="B2" s="28" t="s">
        <v>238</v>
      </c>
      <c r="C2" s="2" t="s">
        <v>2734</v>
      </c>
      <c r="D2" s="8">
        <f>AVERAGE(N9,N15,N51,N59,N23,N64,N30,N39,N47,N72)</f>
        <v>151.63496224333107</v>
      </c>
      <c r="E2" s="9" t="s">
        <v>0</v>
      </c>
      <c r="F2" s="10">
        <f>F1/D1</f>
        <v>34.02575096479913</v>
      </c>
      <c r="G2" s="1" t="s">
        <v>2735</v>
      </c>
      <c r="H2" s="545">
        <f>COUNT(H5:H72)</f>
        <v>10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SUM(Y9+Y15+Y23+Y30+Y39+Y47+Y51+Y59+Y64+Y72)</f>
        <v>0</v>
      </c>
      <c r="Z2" s="11">
        <f>SUM(Z9+Z15+Z23+Z30+Z39+Z47+Z51+Z59+Z64+Z72)</f>
        <v>0</v>
      </c>
      <c r="AA2" s="664"/>
      <c r="AB2" s="664"/>
      <c r="AC2" s="11">
        <f>SUM(AC9+AC15+AC23+AC30+AC39+AC47+AC51+AC59+AC64+AC72)</f>
        <v>58</v>
      </c>
      <c r="AD2" s="11">
        <f>SUM(AD9+AD15+AD23+AD30+AD39+AD47+AD51+AD59+AD64+AD72)</f>
        <v>0</v>
      </c>
      <c r="AE2" s="665"/>
      <c r="AF2" s="665"/>
      <c r="AG2" s="665"/>
    </row>
    <row r="3" spans="1:33" ht="40.5" customHeight="1">
      <c r="A3" s="617" t="s">
        <v>2736</v>
      </c>
      <c r="B3" s="617" t="s">
        <v>2737</v>
      </c>
      <c r="C3" s="617" t="s">
        <v>2738</v>
      </c>
      <c r="D3" s="617"/>
      <c r="E3" s="661" t="s">
        <v>2739</v>
      </c>
      <c r="F3" s="617" t="s">
        <v>2740</v>
      </c>
      <c r="G3" s="661" t="s">
        <v>2741</v>
      </c>
      <c r="H3" s="654" t="s">
        <v>2742</v>
      </c>
      <c r="I3" s="652" t="s">
        <v>2743</v>
      </c>
      <c r="J3" s="649" t="s">
        <v>2744</v>
      </c>
      <c r="K3" s="659" t="s">
        <v>2734</v>
      </c>
      <c r="L3" s="652" t="s">
        <v>2743</v>
      </c>
      <c r="M3" s="649" t="s">
        <v>2745</v>
      </c>
      <c r="N3" s="659" t="s">
        <v>2734</v>
      </c>
      <c r="O3" s="652" t="s">
        <v>2743</v>
      </c>
      <c r="P3" s="659" t="s">
        <v>2734</v>
      </c>
      <c r="Q3" s="650" t="s">
        <v>2746</v>
      </c>
      <c r="R3" s="630" t="s">
        <v>2747</v>
      </c>
      <c r="S3" s="660" t="s">
        <v>1</v>
      </c>
      <c r="T3" s="660"/>
      <c r="U3" s="654" t="s">
        <v>2</v>
      </c>
      <c r="V3" s="654" t="s">
        <v>2748</v>
      </c>
      <c r="W3" s="617" t="s">
        <v>2749</v>
      </c>
      <c r="X3" s="617"/>
      <c r="Y3" s="655" t="s">
        <v>2750</v>
      </c>
      <c r="Z3" s="614"/>
      <c r="AA3" s="656" t="s">
        <v>2751</v>
      </c>
      <c r="AB3" s="657"/>
      <c r="AC3" s="655" t="s">
        <v>2752</v>
      </c>
      <c r="AD3" s="614"/>
      <c r="AE3" s="649" t="s">
        <v>2744</v>
      </c>
      <c r="AF3" s="650" t="s">
        <v>2746</v>
      </c>
      <c r="AG3" s="630" t="s">
        <v>2747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546" t="s">
        <v>3</v>
      </c>
      <c r="T4" s="546" t="s">
        <v>4</v>
      </c>
      <c r="U4" s="654"/>
      <c r="V4" s="654"/>
      <c r="W4" s="540" t="s">
        <v>2753</v>
      </c>
      <c r="X4" s="540" t="s">
        <v>2754</v>
      </c>
      <c r="Y4" s="539" t="s">
        <v>2755</v>
      </c>
      <c r="Z4" s="539" t="s">
        <v>2756</v>
      </c>
      <c r="AA4" s="658"/>
      <c r="AB4" s="657"/>
      <c r="AC4" s="539" t="s">
        <v>2757</v>
      </c>
      <c r="AD4" s="539" t="s">
        <v>2758</v>
      </c>
      <c r="AE4" s="649"/>
      <c r="AF4" s="650"/>
      <c r="AG4" s="630"/>
    </row>
    <row r="5" spans="1:33">
      <c r="A5" s="651" t="s">
        <v>2759</v>
      </c>
      <c r="B5" s="29" t="s">
        <v>15</v>
      </c>
      <c r="C5" s="653" t="s">
        <v>17</v>
      </c>
      <c r="D5" s="653"/>
      <c r="E5" s="29">
        <v>50.67</v>
      </c>
      <c r="F5" s="546">
        <v>1546</v>
      </c>
      <c r="G5" s="540">
        <f t="shared" ref="G5:G8" si="0">E5*F5</f>
        <v>78335.820000000007</v>
      </c>
      <c r="H5" s="33" t="s">
        <v>57</v>
      </c>
      <c r="I5" s="543">
        <v>15</v>
      </c>
      <c r="J5" s="31">
        <v>2000</v>
      </c>
      <c r="K5" s="12">
        <f t="shared" ref="K5:K68" si="1">J5/I5</f>
        <v>133.33333333333334</v>
      </c>
      <c r="L5" s="543">
        <v>15</v>
      </c>
      <c r="M5" s="13">
        <f t="shared" ref="M5:M8" si="2">F5/V5*60</f>
        <v>1932.5000000000005</v>
      </c>
      <c r="N5" s="12">
        <f t="shared" ref="N5:N68" si="3">M5/L5</f>
        <v>128.83333333333337</v>
      </c>
      <c r="O5" s="14">
        <f t="shared" ref="O5:O68" si="4">L5-I5</f>
        <v>0</v>
      </c>
      <c r="P5" s="15">
        <f t="shared" ref="P5:P68" si="5">N5-K5</f>
        <v>-4.4999999999999716</v>
      </c>
      <c r="Q5" s="541">
        <f t="shared" ref="Q5:Q68" si="6">N5/K5</f>
        <v>0.96625000000000016</v>
      </c>
      <c r="R5" s="615">
        <f>Q9</f>
        <v>0.96480397491240055</v>
      </c>
      <c r="S5" s="34">
        <v>0.70833333333333337</v>
      </c>
      <c r="T5" s="34">
        <v>0.7416666666666667</v>
      </c>
      <c r="U5" s="540"/>
      <c r="V5" s="544">
        <f t="shared" ref="V5:V8" si="7">(T5-S5)*24*60</f>
        <v>47.999999999999986</v>
      </c>
      <c r="W5" s="16"/>
      <c r="X5" s="17"/>
      <c r="Y5" s="17"/>
      <c r="Z5" s="17"/>
      <c r="AA5" s="617"/>
      <c r="AB5" s="617"/>
      <c r="AC5" s="18">
        <v>4</v>
      </c>
      <c r="AD5" s="18"/>
      <c r="AE5" s="14">
        <f t="shared" ref="AE5:AE58" si="8">M5-J5</f>
        <v>-67.499999999999545</v>
      </c>
      <c r="AF5" s="541">
        <f t="shared" ref="AF5:AF68" si="9">M5/J5</f>
        <v>0.96625000000000028</v>
      </c>
      <c r="AG5" s="615">
        <f>AF9</f>
        <v>0.96480397491240055</v>
      </c>
    </row>
    <row r="6" spans="1:33">
      <c r="A6" s="652" t="s">
        <v>2760</v>
      </c>
      <c r="B6" s="29" t="s">
        <v>15</v>
      </c>
      <c r="C6" s="653" t="s">
        <v>26</v>
      </c>
      <c r="D6" s="653"/>
      <c r="E6" s="29">
        <v>50.92</v>
      </c>
      <c r="F6" s="546">
        <v>2442</v>
      </c>
      <c r="G6" s="540">
        <f t="shared" si="0"/>
        <v>124346.64</v>
      </c>
      <c r="H6" s="33" t="s">
        <v>57</v>
      </c>
      <c r="I6" s="543">
        <v>15</v>
      </c>
      <c r="J6" s="31">
        <v>2000</v>
      </c>
      <c r="K6" s="12">
        <f t="shared" si="1"/>
        <v>133.33333333333334</v>
      </c>
      <c r="L6" s="543">
        <v>15</v>
      </c>
      <c r="M6" s="13">
        <f t="shared" si="2"/>
        <v>1927.8947368421038</v>
      </c>
      <c r="N6" s="12">
        <f t="shared" si="3"/>
        <v>128.52631578947359</v>
      </c>
      <c r="O6" s="14">
        <f t="shared" si="4"/>
        <v>0</v>
      </c>
      <c r="P6" s="15">
        <f t="shared" si="5"/>
        <v>-4.8070175438597573</v>
      </c>
      <c r="Q6" s="541">
        <f t="shared" si="6"/>
        <v>0.96394736842105178</v>
      </c>
      <c r="R6" s="615"/>
      <c r="S6" s="34">
        <v>0.74583333333333335</v>
      </c>
      <c r="T6" s="34">
        <v>0.79861111111111116</v>
      </c>
      <c r="U6" s="540">
        <f t="shared" ref="U6:U8" si="10">IF(S6=TIME(17,0,0),"",(S6-T5)*24*60)</f>
        <v>5.9999999999999787</v>
      </c>
      <c r="V6" s="544">
        <f t="shared" si="7"/>
        <v>76.000000000000057</v>
      </c>
      <c r="W6" s="16"/>
      <c r="X6" s="16"/>
      <c r="Y6" s="16"/>
      <c r="Z6" s="16"/>
      <c r="AA6" s="617"/>
      <c r="AB6" s="617"/>
      <c r="AC6" s="18"/>
      <c r="AD6" s="18"/>
      <c r="AE6" s="14">
        <f t="shared" si="8"/>
        <v>-72.105263157896161</v>
      </c>
      <c r="AF6" s="541">
        <f t="shared" si="9"/>
        <v>0.96394736842105189</v>
      </c>
      <c r="AG6" s="615"/>
    </row>
    <row r="7" spans="1:33">
      <c r="A7" s="652" t="s">
        <v>2759</v>
      </c>
      <c r="B7" s="29" t="s">
        <v>15</v>
      </c>
      <c r="C7" s="644" t="s">
        <v>31</v>
      </c>
      <c r="D7" s="645"/>
      <c r="E7" s="29">
        <v>50.98</v>
      </c>
      <c r="F7" s="546">
        <v>1000</v>
      </c>
      <c r="G7" s="540">
        <f t="shared" si="0"/>
        <v>50980</v>
      </c>
      <c r="H7" s="33">
        <v>2</v>
      </c>
      <c r="I7" s="543">
        <v>16</v>
      </c>
      <c r="J7" s="31">
        <v>2000</v>
      </c>
      <c r="K7" s="12">
        <f t="shared" si="1"/>
        <v>125</v>
      </c>
      <c r="L7" s="543">
        <v>16</v>
      </c>
      <c r="M7" s="13">
        <f t="shared" si="2"/>
        <v>1935.483870967739</v>
      </c>
      <c r="N7" s="12">
        <f t="shared" si="3"/>
        <v>120.96774193548369</v>
      </c>
      <c r="O7" s="14">
        <f t="shared" si="4"/>
        <v>0</v>
      </c>
      <c r="P7" s="15">
        <f t="shared" si="5"/>
        <v>-4.0322580645163129</v>
      </c>
      <c r="Q7" s="541">
        <f t="shared" si="6"/>
        <v>0.96774193548386944</v>
      </c>
      <c r="R7" s="615"/>
      <c r="S7" s="34">
        <v>0.80208333333333337</v>
      </c>
      <c r="T7" s="34">
        <v>0.82361111111111118</v>
      </c>
      <c r="U7" s="540">
        <f t="shared" si="10"/>
        <v>4.9999999999999822</v>
      </c>
      <c r="V7" s="544">
        <f t="shared" si="7"/>
        <v>31.00000000000005</v>
      </c>
      <c r="W7" s="16">
        <f>T7</f>
        <v>0.82361111111111118</v>
      </c>
      <c r="X7" s="16">
        <f>S8</f>
        <v>0.86458333333333337</v>
      </c>
      <c r="Y7" s="19"/>
      <c r="Z7" s="19"/>
      <c r="AA7" s="624"/>
      <c r="AB7" s="625"/>
      <c r="AC7" s="20"/>
      <c r="AD7" s="20"/>
      <c r="AE7" s="14">
        <f t="shared" si="8"/>
        <v>-64.516129032261006</v>
      </c>
      <c r="AF7" s="541">
        <f t="shared" si="9"/>
        <v>0.96774193548386944</v>
      </c>
      <c r="AG7" s="615"/>
    </row>
    <row r="8" spans="1:33">
      <c r="A8" s="652" t="s">
        <v>2759</v>
      </c>
      <c r="B8" s="29" t="s">
        <v>15</v>
      </c>
      <c r="C8" s="644" t="s">
        <v>31</v>
      </c>
      <c r="D8" s="645"/>
      <c r="E8" s="29">
        <v>50.98</v>
      </c>
      <c r="F8" s="546">
        <v>1506</v>
      </c>
      <c r="G8" s="540">
        <f t="shared" si="0"/>
        <v>76775.87999999999</v>
      </c>
      <c r="H8" s="33" t="s">
        <v>57</v>
      </c>
      <c r="I8" s="543">
        <v>16</v>
      </c>
      <c r="J8" s="31">
        <v>2000</v>
      </c>
      <c r="K8" s="12">
        <f t="shared" si="1"/>
        <v>125</v>
      </c>
      <c r="L8" s="543">
        <v>16</v>
      </c>
      <c r="M8" s="13">
        <f t="shared" si="2"/>
        <v>1922.553191489362</v>
      </c>
      <c r="N8" s="12">
        <f t="shared" si="3"/>
        <v>120.15957446808513</v>
      </c>
      <c r="O8" s="14">
        <f t="shared" si="4"/>
        <v>0</v>
      </c>
      <c r="P8" s="15">
        <f t="shared" si="5"/>
        <v>-4.8404255319148746</v>
      </c>
      <c r="Q8" s="541">
        <f t="shared" si="6"/>
        <v>0.96127659574468105</v>
      </c>
      <c r="R8" s="615"/>
      <c r="S8" s="34">
        <v>0.86458333333333337</v>
      </c>
      <c r="T8" s="34">
        <v>0.89722222222222225</v>
      </c>
      <c r="U8" s="540">
        <f t="shared" si="10"/>
        <v>58.99999999999995</v>
      </c>
      <c r="V8" s="544">
        <f t="shared" si="7"/>
        <v>46.999999999999993</v>
      </c>
      <c r="W8" s="21"/>
      <c r="X8" s="21"/>
      <c r="Y8" s="22"/>
      <c r="Z8" s="22"/>
      <c r="AA8" s="624"/>
      <c r="AB8" s="625"/>
      <c r="AC8" s="20"/>
      <c r="AD8" s="20"/>
      <c r="AE8" s="14">
        <f t="shared" si="8"/>
        <v>-77.446808510637993</v>
      </c>
      <c r="AF8" s="541">
        <f t="shared" si="9"/>
        <v>0.96127659574468105</v>
      </c>
      <c r="AG8" s="615"/>
    </row>
    <row r="9" spans="1:33">
      <c r="A9" s="652" t="s">
        <v>5</v>
      </c>
      <c r="B9" s="29" t="s">
        <v>2761</v>
      </c>
      <c r="C9" s="618"/>
      <c r="D9" s="618"/>
      <c r="E9" s="542"/>
      <c r="F9" s="30"/>
      <c r="G9" s="12"/>
      <c r="H9" s="546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1929.6079498248012</v>
      </c>
      <c r="N9" s="12">
        <f t="shared" si="3"/>
        <v>124.49083547256781</v>
      </c>
      <c r="O9" s="14">
        <f t="shared" si="4"/>
        <v>0</v>
      </c>
      <c r="P9" s="15">
        <f t="shared" si="5"/>
        <v>-4.5414225919483187</v>
      </c>
      <c r="Q9" s="541">
        <f t="shared" si="6"/>
        <v>0.96480397491240055</v>
      </c>
      <c r="R9" s="615"/>
      <c r="S9" s="34"/>
      <c r="T9" s="34"/>
      <c r="U9" s="540"/>
      <c r="V9" s="544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-70.392050175198847</v>
      </c>
      <c r="AF9" s="541">
        <f t="shared" si="9"/>
        <v>0.96480397491240055</v>
      </c>
      <c r="AG9" s="615"/>
    </row>
    <row r="10" spans="1:33" ht="15.75" customHeight="1">
      <c r="A10" s="648" t="s">
        <v>2762</v>
      </c>
      <c r="B10" s="29" t="s">
        <v>19</v>
      </c>
      <c r="C10" s="644" t="s">
        <v>20</v>
      </c>
      <c r="D10" s="645"/>
      <c r="E10" s="29">
        <v>39.619999999999997</v>
      </c>
      <c r="F10" s="546">
        <v>3100</v>
      </c>
      <c r="G10" s="540">
        <f t="shared" ref="G10:G14" si="11">E10*F10</f>
        <v>122821.99999999999</v>
      </c>
      <c r="H10" s="33">
        <v>2</v>
      </c>
      <c r="I10" s="543">
        <v>19</v>
      </c>
      <c r="J10" s="31">
        <v>1500</v>
      </c>
      <c r="K10" s="12">
        <f t="shared" si="1"/>
        <v>78.94736842105263</v>
      </c>
      <c r="L10" s="543">
        <v>19</v>
      </c>
      <c r="M10" s="13">
        <f t="shared" ref="M10:M14" si="12">F10/V10*60</f>
        <v>1430.7692307692305</v>
      </c>
      <c r="N10" s="12">
        <f t="shared" si="3"/>
        <v>75.303643724696343</v>
      </c>
      <c r="O10" s="14">
        <f t="shared" si="4"/>
        <v>0</v>
      </c>
      <c r="P10" s="15">
        <f t="shared" si="5"/>
        <v>-3.643724696356287</v>
      </c>
      <c r="Q10" s="541">
        <f t="shared" si="6"/>
        <v>0.95384615384615368</v>
      </c>
      <c r="R10" s="615">
        <f>Q15</f>
        <v>0.95568608434243685</v>
      </c>
      <c r="S10" s="34">
        <v>0.125</v>
      </c>
      <c r="T10" s="34">
        <v>0.21527777777777779</v>
      </c>
      <c r="U10" s="540"/>
      <c r="V10" s="544">
        <f t="shared" ref="V10:V14" si="13">(T10-S10)*24*60</f>
        <v>130.00000000000003</v>
      </c>
      <c r="W10" s="16">
        <f>T10</f>
        <v>0.21527777777777779</v>
      </c>
      <c r="X10" s="16">
        <f>S11</f>
        <v>0.23263888888888887</v>
      </c>
      <c r="Y10" s="16"/>
      <c r="Z10" s="16"/>
      <c r="AA10" s="617"/>
      <c r="AB10" s="617"/>
      <c r="AC10" s="18">
        <v>5</v>
      </c>
      <c r="AD10" s="18"/>
      <c r="AE10" s="14">
        <f t="shared" si="8"/>
        <v>-69.230769230769511</v>
      </c>
      <c r="AF10" s="541">
        <f t="shared" si="9"/>
        <v>0.95384615384615368</v>
      </c>
      <c r="AG10" s="615">
        <f>AF15</f>
        <v>0.95568608434243685</v>
      </c>
    </row>
    <row r="11" spans="1:33" ht="15.75" customHeight="1">
      <c r="A11" s="648" t="s">
        <v>2762</v>
      </c>
      <c r="B11" s="29" t="s">
        <v>19</v>
      </c>
      <c r="C11" s="644" t="s">
        <v>83</v>
      </c>
      <c r="D11" s="645"/>
      <c r="E11" s="29">
        <v>39.46</v>
      </c>
      <c r="F11" s="546">
        <v>3984</v>
      </c>
      <c r="G11" s="540">
        <f t="shared" si="11"/>
        <v>157208.64000000001</v>
      </c>
      <c r="H11" s="33" t="s">
        <v>57</v>
      </c>
      <c r="I11" s="543">
        <v>15</v>
      </c>
      <c r="J11" s="31">
        <v>1500</v>
      </c>
      <c r="K11" s="12">
        <f t="shared" si="1"/>
        <v>100</v>
      </c>
      <c r="L11" s="543">
        <v>15</v>
      </c>
      <c r="M11" s="13">
        <f t="shared" si="12"/>
        <v>1431.377245508982</v>
      </c>
      <c r="N11" s="12">
        <f t="shared" si="3"/>
        <v>95.425149700598794</v>
      </c>
      <c r="O11" s="14">
        <f t="shared" si="4"/>
        <v>0</v>
      </c>
      <c r="P11" s="15">
        <f t="shared" si="5"/>
        <v>-4.5748502994012057</v>
      </c>
      <c r="Q11" s="541">
        <f t="shared" si="6"/>
        <v>0.95425149700598799</v>
      </c>
      <c r="R11" s="615"/>
      <c r="S11" s="34">
        <v>0.23263888888888887</v>
      </c>
      <c r="T11" s="34">
        <v>0.34861111111111109</v>
      </c>
      <c r="U11" s="540">
        <f t="shared" ref="U11:U14" si="14">IF(S11=TIME(17,0,0),"",(S11-T10)*24*60)</f>
        <v>24.99999999999995</v>
      </c>
      <c r="V11" s="544">
        <f t="shared" si="13"/>
        <v>167</v>
      </c>
      <c r="W11" s="16"/>
      <c r="X11" s="16"/>
      <c r="Y11" s="16"/>
      <c r="Z11" s="16"/>
      <c r="AA11" s="617"/>
      <c r="AB11" s="617"/>
      <c r="AC11" s="18"/>
      <c r="AD11" s="18"/>
      <c r="AE11" s="14">
        <f t="shared" si="8"/>
        <v>-68.622754491017986</v>
      </c>
      <c r="AF11" s="541">
        <f t="shared" si="9"/>
        <v>0.95425149700598799</v>
      </c>
      <c r="AG11" s="615"/>
    </row>
    <row r="12" spans="1:33" ht="15.75" customHeight="1">
      <c r="A12" s="648" t="s">
        <v>2763</v>
      </c>
      <c r="B12" s="29" t="s">
        <v>19</v>
      </c>
      <c r="C12" s="644" t="s">
        <v>21</v>
      </c>
      <c r="D12" s="645"/>
      <c r="E12" s="29">
        <v>39.799999999999997</v>
      </c>
      <c r="F12" s="546">
        <v>4700</v>
      </c>
      <c r="G12" s="540">
        <f t="shared" si="11"/>
        <v>187060</v>
      </c>
      <c r="H12" s="33">
        <v>2</v>
      </c>
      <c r="I12" s="543">
        <v>17</v>
      </c>
      <c r="J12" s="31">
        <v>1500</v>
      </c>
      <c r="K12" s="12">
        <f t="shared" si="1"/>
        <v>88.235294117647058</v>
      </c>
      <c r="L12" s="543">
        <v>17</v>
      </c>
      <c r="M12" s="13">
        <f t="shared" si="12"/>
        <v>1431.4720812182745</v>
      </c>
      <c r="N12" s="12">
        <f t="shared" si="3"/>
        <v>84.204240071663207</v>
      </c>
      <c r="O12" s="14">
        <f t="shared" si="4"/>
        <v>0</v>
      </c>
      <c r="P12" s="15">
        <f t="shared" si="5"/>
        <v>-4.0310540459838506</v>
      </c>
      <c r="Q12" s="541">
        <f t="shared" si="6"/>
        <v>0.95431472081218305</v>
      </c>
      <c r="R12" s="615"/>
      <c r="S12" s="34">
        <v>0.35347222222222219</v>
      </c>
      <c r="T12" s="34">
        <v>0.4902777777777777</v>
      </c>
      <c r="U12" s="540">
        <f t="shared" si="14"/>
        <v>6.9999999999999751</v>
      </c>
      <c r="V12" s="544">
        <f t="shared" si="13"/>
        <v>196.99999999999994</v>
      </c>
      <c r="W12" s="16">
        <f>T12</f>
        <v>0.4902777777777777</v>
      </c>
      <c r="X12" s="16">
        <f>S13</f>
        <v>0.53194444444444433</v>
      </c>
      <c r="Y12" s="16"/>
      <c r="Z12" s="16"/>
      <c r="AA12" s="617"/>
      <c r="AB12" s="617"/>
      <c r="AC12" s="18"/>
      <c r="AD12" s="18"/>
      <c r="AE12" s="14">
        <f t="shared" si="8"/>
        <v>-68.527918781725475</v>
      </c>
      <c r="AF12" s="541">
        <f t="shared" si="9"/>
        <v>0.95431472081218305</v>
      </c>
      <c r="AG12" s="615"/>
    </row>
    <row r="13" spans="1:33" ht="15.75" customHeight="1">
      <c r="A13" s="648" t="s">
        <v>2763</v>
      </c>
      <c r="B13" s="29" t="s">
        <v>19</v>
      </c>
      <c r="C13" s="644" t="s">
        <v>21</v>
      </c>
      <c r="D13" s="645"/>
      <c r="E13" s="29">
        <v>39.799999999999997</v>
      </c>
      <c r="F13" s="546">
        <v>2469</v>
      </c>
      <c r="G13" s="540">
        <f t="shared" si="11"/>
        <v>98266.2</v>
      </c>
      <c r="H13" s="33" t="s">
        <v>57</v>
      </c>
      <c r="I13" s="543">
        <v>17</v>
      </c>
      <c r="J13" s="31">
        <v>1500</v>
      </c>
      <c r="K13" s="12">
        <f t="shared" si="1"/>
        <v>88.235294117647058</v>
      </c>
      <c r="L13" s="543">
        <v>17</v>
      </c>
      <c r="M13" s="13">
        <f t="shared" si="12"/>
        <v>1438.2524271844666</v>
      </c>
      <c r="N13" s="12">
        <f t="shared" si="3"/>
        <v>84.603083952027447</v>
      </c>
      <c r="O13" s="14">
        <f t="shared" si="4"/>
        <v>0</v>
      </c>
      <c r="P13" s="15">
        <f t="shared" si="5"/>
        <v>-3.6322101656196111</v>
      </c>
      <c r="Q13" s="541">
        <f t="shared" si="6"/>
        <v>0.95883495145631104</v>
      </c>
      <c r="R13" s="615"/>
      <c r="S13" s="34">
        <v>0.53194444444444433</v>
      </c>
      <c r="T13" s="34">
        <v>0.60347222222222208</v>
      </c>
      <c r="U13" s="540">
        <f t="shared" si="14"/>
        <v>59.999999999999943</v>
      </c>
      <c r="V13" s="544">
        <f t="shared" si="13"/>
        <v>102.99999999999996</v>
      </c>
      <c r="W13" s="16"/>
      <c r="X13" s="16"/>
      <c r="Y13" s="16"/>
      <c r="Z13" s="16"/>
      <c r="AA13" s="624"/>
      <c r="AB13" s="625"/>
      <c r="AC13" s="18"/>
      <c r="AD13" s="18"/>
      <c r="AE13" s="14">
        <f t="shared" si="8"/>
        <v>-61.747572815533431</v>
      </c>
      <c r="AF13" s="541">
        <f t="shared" si="9"/>
        <v>0.95883495145631104</v>
      </c>
      <c r="AG13" s="615"/>
    </row>
    <row r="14" spans="1:33" ht="15.75" customHeight="1">
      <c r="A14" s="648" t="s">
        <v>2762</v>
      </c>
      <c r="B14" s="29" t="s">
        <v>19</v>
      </c>
      <c r="C14" s="644" t="s">
        <v>20</v>
      </c>
      <c r="D14" s="645"/>
      <c r="E14" s="29">
        <v>39.619999999999997</v>
      </c>
      <c r="F14" s="546">
        <v>1699</v>
      </c>
      <c r="G14" s="540">
        <f t="shared" si="11"/>
        <v>67314.37999999999</v>
      </c>
      <c r="H14" s="33" t="s">
        <v>57</v>
      </c>
      <c r="I14" s="543">
        <v>19</v>
      </c>
      <c r="J14" s="31">
        <v>1500</v>
      </c>
      <c r="K14" s="12">
        <f t="shared" si="1"/>
        <v>78.94736842105263</v>
      </c>
      <c r="L14" s="543">
        <v>19</v>
      </c>
      <c r="M14" s="13">
        <f t="shared" si="12"/>
        <v>1435.7746478873223</v>
      </c>
      <c r="N14" s="12">
        <f t="shared" si="3"/>
        <v>75.567086730911697</v>
      </c>
      <c r="O14" s="14">
        <f t="shared" si="4"/>
        <v>0</v>
      </c>
      <c r="P14" s="15">
        <f t="shared" si="5"/>
        <v>-3.3802816901409329</v>
      </c>
      <c r="Q14" s="541">
        <f t="shared" si="6"/>
        <v>0.95718309859154815</v>
      </c>
      <c r="R14" s="615"/>
      <c r="S14" s="34">
        <v>0.60833333333333317</v>
      </c>
      <c r="T14" s="34">
        <v>0.65763888888888877</v>
      </c>
      <c r="U14" s="540">
        <f t="shared" si="14"/>
        <v>6.9999999999999751</v>
      </c>
      <c r="V14" s="544">
        <f t="shared" si="13"/>
        <v>71.000000000000071</v>
      </c>
      <c r="W14" s="16"/>
      <c r="X14" s="16"/>
      <c r="Y14" s="19"/>
      <c r="Z14" s="19"/>
      <c r="AA14" s="624"/>
      <c r="AB14" s="625"/>
      <c r="AC14" s="18"/>
      <c r="AD14" s="18"/>
      <c r="AE14" s="14">
        <f t="shared" si="8"/>
        <v>-64.225352112677683</v>
      </c>
      <c r="AF14" s="541">
        <f t="shared" si="9"/>
        <v>0.95718309859154826</v>
      </c>
      <c r="AG14" s="615"/>
    </row>
    <row r="15" spans="1:33" ht="16.5" customHeight="1">
      <c r="A15" s="648" t="s">
        <v>2762</v>
      </c>
      <c r="B15" s="29" t="s">
        <v>2764</v>
      </c>
      <c r="C15" s="618"/>
      <c r="D15" s="618"/>
      <c r="E15" s="542"/>
      <c r="F15" s="31"/>
      <c r="G15" s="13"/>
      <c r="H15" s="546"/>
      <c r="I15" s="23">
        <v>17.399999999999999</v>
      </c>
      <c r="J15" s="31">
        <v>1500</v>
      </c>
      <c r="K15" s="12">
        <f t="shared" si="1"/>
        <v>86.206896551724142</v>
      </c>
      <c r="L15" s="23">
        <v>17.399999999999999</v>
      </c>
      <c r="M15" s="13">
        <f>AVERAGE(M10:M14)</f>
        <v>1433.5291265136552</v>
      </c>
      <c r="N15" s="12">
        <f t="shared" si="3"/>
        <v>82.386731408830769</v>
      </c>
      <c r="O15" s="14">
        <f t="shared" si="4"/>
        <v>0</v>
      </c>
      <c r="P15" s="15">
        <f t="shared" si="5"/>
        <v>-3.8201651428933729</v>
      </c>
      <c r="Q15" s="541">
        <f t="shared" si="6"/>
        <v>0.95568608434243685</v>
      </c>
      <c r="R15" s="615"/>
      <c r="S15" s="34"/>
      <c r="T15" s="34"/>
      <c r="U15" s="12"/>
      <c r="V15" s="544"/>
      <c r="W15" s="12"/>
      <c r="X15" s="12"/>
      <c r="Y15" s="24">
        <f>SUM(Y10:Y14)</f>
        <v>0</v>
      </c>
      <c r="Z15" s="24">
        <f>SUM(Z10:Z14)</f>
        <v>0</v>
      </c>
      <c r="AA15" s="614"/>
      <c r="AB15" s="614"/>
      <c r="AC15" s="24">
        <v>5</v>
      </c>
      <c r="AD15" s="24">
        <f>SUM(AD10:AD14)</f>
        <v>0</v>
      </c>
      <c r="AE15" s="14">
        <f t="shared" si="8"/>
        <v>-66.470873486344772</v>
      </c>
      <c r="AF15" s="541">
        <f t="shared" si="9"/>
        <v>0.95568608434243685</v>
      </c>
      <c r="AG15" s="615"/>
    </row>
    <row r="16" spans="1:33" ht="16.5" customHeight="1">
      <c r="A16" s="646" t="s">
        <v>2765</v>
      </c>
      <c r="B16" s="546" t="s">
        <v>22</v>
      </c>
      <c r="C16" s="640" t="s">
        <v>87</v>
      </c>
      <c r="D16" s="640"/>
      <c r="E16" s="29">
        <v>38.619999999999997</v>
      </c>
      <c r="F16" s="546">
        <v>2583</v>
      </c>
      <c r="G16" s="540">
        <f t="shared" ref="G16:G22" si="15">E16*F16</f>
        <v>99755.459999999992</v>
      </c>
      <c r="H16" s="33" t="s">
        <v>57</v>
      </c>
      <c r="I16" s="543">
        <v>24</v>
      </c>
      <c r="J16" s="31">
        <v>1500</v>
      </c>
      <c r="K16" s="12">
        <f t="shared" si="1"/>
        <v>62.5</v>
      </c>
      <c r="L16" s="543">
        <v>24</v>
      </c>
      <c r="M16" s="13">
        <f t="shared" ref="M16:M22" si="16">F16/V16*60</f>
        <v>1435.0000000000002</v>
      </c>
      <c r="N16" s="12">
        <f t="shared" si="3"/>
        <v>59.791666666666679</v>
      </c>
      <c r="O16" s="14">
        <f t="shared" si="4"/>
        <v>0</v>
      </c>
      <c r="P16" s="15">
        <f t="shared" si="5"/>
        <v>-2.7083333333333215</v>
      </c>
      <c r="Q16" s="541">
        <f t="shared" si="6"/>
        <v>0.95666666666666689</v>
      </c>
      <c r="R16" s="615">
        <f>Q23</f>
        <v>0.96266493999070923</v>
      </c>
      <c r="S16" s="34">
        <v>8.3333333333333329E-2</v>
      </c>
      <c r="T16" s="34">
        <v>0.15833333333333333</v>
      </c>
      <c r="U16" s="540"/>
      <c r="V16" s="544">
        <f t="shared" ref="V16:V22" si="17">(T16-S16)*24*60</f>
        <v>107.99999999999999</v>
      </c>
      <c r="W16" s="16">
        <f>T16</f>
        <v>0.15833333333333333</v>
      </c>
      <c r="X16" s="16">
        <f>S17</f>
        <v>0.17638888888888887</v>
      </c>
      <c r="Y16" s="21"/>
      <c r="Z16" s="21"/>
      <c r="AA16" s="617"/>
      <c r="AB16" s="617"/>
      <c r="AC16" s="18">
        <v>7</v>
      </c>
      <c r="AD16" s="18"/>
      <c r="AE16" s="14">
        <f t="shared" si="8"/>
        <v>-64.999999999999773</v>
      </c>
      <c r="AF16" s="541">
        <f t="shared" si="9"/>
        <v>0.95666666666666678</v>
      </c>
      <c r="AG16" s="615">
        <f>AF23</f>
        <v>0.96266493999070923</v>
      </c>
    </row>
    <row r="17" spans="1:33" ht="16.5" customHeight="1">
      <c r="A17" s="647" t="s">
        <v>2766</v>
      </c>
      <c r="B17" s="546" t="s">
        <v>22</v>
      </c>
      <c r="C17" s="640" t="s">
        <v>23</v>
      </c>
      <c r="D17" s="640"/>
      <c r="E17" s="29">
        <v>41</v>
      </c>
      <c r="F17" s="546">
        <v>2212</v>
      </c>
      <c r="G17" s="540">
        <f t="shared" si="15"/>
        <v>90692</v>
      </c>
      <c r="H17" s="33" t="s">
        <v>57</v>
      </c>
      <c r="I17" s="543">
        <v>26</v>
      </c>
      <c r="J17" s="31">
        <v>1500</v>
      </c>
      <c r="K17" s="12">
        <f t="shared" si="1"/>
        <v>57.692307692307693</v>
      </c>
      <c r="L17" s="543">
        <v>26</v>
      </c>
      <c r="M17" s="13">
        <f t="shared" si="16"/>
        <v>1427.0967741935485</v>
      </c>
      <c r="N17" s="12">
        <f t="shared" si="3"/>
        <v>54.888337468982634</v>
      </c>
      <c r="O17" s="14">
        <f t="shared" si="4"/>
        <v>0</v>
      </c>
      <c r="P17" s="15">
        <f t="shared" si="5"/>
        <v>-2.8039702233250594</v>
      </c>
      <c r="Q17" s="541">
        <f t="shared" si="6"/>
        <v>0.95139784946236561</v>
      </c>
      <c r="R17" s="615"/>
      <c r="S17" s="34">
        <v>0.17638888888888887</v>
      </c>
      <c r="T17" s="34">
        <v>0.2409722222222222</v>
      </c>
      <c r="U17" s="540">
        <f t="shared" ref="U17:U22" si="18">IF(S17=TIME(17,0,0),"",(S17-T16)*24*60)</f>
        <v>25.999999999999986</v>
      </c>
      <c r="V17" s="544">
        <f t="shared" si="17"/>
        <v>92.999999999999986</v>
      </c>
      <c r="W17" s="16"/>
      <c r="X17" s="16"/>
      <c r="Y17" s="16"/>
      <c r="Z17" s="16"/>
      <c r="AA17" s="617"/>
      <c r="AB17" s="617"/>
      <c r="AC17" s="18"/>
      <c r="AD17" s="18"/>
      <c r="AE17" s="14">
        <f t="shared" si="8"/>
        <v>-72.903225806451474</v>
      </c>
      <c r="AF17" s="541">
        <f t="shared" si="9"/>
        <v>0.95139784946236572</v>
      </c>
      <c r="AG17" s="615"/>
    </row>
    <row r="18" spans="1:33" ht="16.5" customHeight="1">
      <c r="A18" s="647" t="s">
        <v>2766</v>
      </c>
      <c r="B18" s="546" t="s">
        <v>15</v>
      </c>
      <c r="C18" s="640" t="s">
        <v>86</v>
      </c>
      <c r="D18" s="640"/>
      <c r="E18" s="29">
        <v>37.03</v>
      </c>
      <c r="F18" s="546">
        <v>3731</v>
      </c>
      <c r="G18" s="540">
        <f t="shared" si="15"/>
        <v>138158.93</v>
      </c>
      <c r="H18" s="33" t="s">
        <v>57</v>
      </c>
      <c r="I18" s="543">
        <v>13</v>
      </c>
      <c r="J18" s="31">
        <v>1500</v>
      </c>
      <c r="K18" s="12">
        <f t="shared" si="1"/>
        <v>115.38461538461539</v>
      </c>
      <c r="L18" s="543">
        <v>13</v>
      </c>
      <c r="M18" s="13">
        <f t="shared" si="16"/>
        <v>1425.8598726114653</v>
      </c>
      <c r="N18" s="12">
        <f t="shared" si="3"/>
        <v>109.6815286624204</v>
      </c>
      <c r="O18" s="14">
        <f t="shared" si="4"/>
        <v>0</v>
      </c>
      <c r="P18" s="15">
        <f t="shared" si="5"/>
        <v>-5.7030867221949819</v>
      </c>
      <c r="Q18" s="541">
        <f t="shared" si="6"/>
        <v>0.95057324840764346</v>
      </c>
      <c r="R18" s="615"/>
      <c r="S18" s="34">
        <v>0.24513888888888888</v>
      </c>
      <c r="T18" s="34">
        <v>0.35416666666666663</v>
      </c>
      <c r="U18" s="540">
        <f t="shared" si="18"/>
        <v>6.0000000000000187</v>
      </c>
      <c r="V18" s="544">
        <f t="shared" si="17"/>
        <v>156.99999999999997</v>
      </c>
      <c r="W18" s="16"/>
      <c r="X18" s="16"/>
      <c r="Y18" s="16"/>
      <c r="Z18" s="16"/>
      <c r="AA18" s="617"/>
      <c r="AB18" s="617"/>
      <c r="AC18" s="18"/>
      <c r="AD18" s="18"/>
      <c r="AE18" s="14">
        <f t="shared" si="8"/>
        <v>-74.140127388534665</v>
      </c>
      <c r="AF18" s="541">
        <f t="shared" si="9"/>
        <v>0.95057324840764357</v>
      </c>
      <c r="AG18" s="615"/>
    </row>
    <row r="19" spans="1:33" ht="16.5" customHeight="1">
      <c r="A19" s="647" t="s">
        <v>2765</v>
      </c>
      <c r="B19" s="546" t="s">
        <v>19</v>
      </c>
      <c r="C19" s="640" t="s">
        <v>267</v>
      </c>
      <c r="D19" s="640"/>
      <c r="E19" s="29">
        <v>39.520000000000003</v>
      </c>
      <c r="F19" s="546">
        <v>3128</v>
      </c>
      <c r="G19" s="540">
        <f t="shared" si="15"/>
        <v>123618.56000000001</v>
      </c>
      <c r="H19" s="33" t="s">
        <v>57</v>
      </c>
      <c r="I19" s="543">
        <v>19</v>
      </c>
      <c r="J19" s="31">
        <v>1500</v>
      </c>
      <c r="K19" s="12">
        <f t="shared" si="1"/>
        <v>78.94736842105263</v>
      </c>
      <c r="L19" s="543">
        <v>19</v>
      </c>
      <c r="M19" s="13">
        <f t="shared" si="16"/>
        <v>1432.6717557251909</v>
      </c>
      <c r="N19" s="12">
        <f t="shared" si="3"/>
        <v>75.403776617115312</v>
      </c>
      <c r="O19" s="14">
        <f t="shared" si="4"/>
        <v>0</v>
      </c>
      <c r="P19" s="15">
        <f t="shared" si="5"/>
        <v>-3.5435918039373178</v>
      </c>
      <c r="Q19" s="541">
        <f t="shared" si="6"/>
        <v>0.95511450381679397</v>
      </c>
      <c r="R19" s="615"/>
      <c r="S19" s="34">
        <v>0.35972222222222217</v>
      </c>
      <c r="T19" s="34">
        <v>0.4506944444444444</v>
      </c>
      <c r="U19" s="540">
        <f t="shared" si="18"/>
        <v>7.9999999999999716</v>
      </c>
      <c r="V19" s="544">
        <f t="shared" si="17"/>
        <v>131</v>
      </c>
      <c r="W19" s="16"/>
      <c r="X19" s="16"/>
      <c r="Y19" s="16"/>
      <c r="Z19" s="16"/>
      <c r="AA19" s="617"/>
      <c r="AB19" s="617"/>
      <c r="AC19" s="18"/>
      <c r="AD19" s="18"/>
      <c r="AE19" s="14">
        <f t="shared" si="8"/>
        <v>-67.328244274809094</v>
      </c>
      <c r="AF19" s="541">
        <f t="shared" si="9"/>
        <v>0.95511450381679397</v>
      </c>
      <c r="AG19" s="615"/>
    </row>
    <row r="20" spans="1:33" ht="16.5" customHeight="1">
      <c r="A20" s="647" t="s">
        <v>2766</v>
      </c>
      <c r="B20" s="546" t="s">
        <v>15</v>
      </c>
      <c r="C20" s="640" t="s">
        <v>25</v>
      </c>
      <c r="D20" s="640"/>
      <c r="E20" s="29">
        <v>53.68</v>
      </c>
      <c r="F20" s="546">
        <v>1088</v>
      </c>
      <c r="G20" s="540">
        <f t="shared" si="15"/>
        <v>58403.839999999997</v>
      </c>
      <c r="H20" s="33" t="s">
        <v>57</v>
      </c>
      <c r="I20" s="543">
        <v>16</v>
      </c>
      <c r="J20" s="31">
        <v>1500</v>
      </c>
      <c r="K20" s="12">
        <f t="shared" si="1"/>
        <v>93.75</v>
      </c>
      <c r="L20" s="543">
        <v>16</v>
      </c>
      <c r="M20" s="13">
        <f t="shared" si="16"/>
        <v>1450.6666666666665</v>
      </c>
      <c r="N20" s="12">
        <f t="shared" si="3"/>
        <v>90.666666666666657</v>
      </c>
      <c r="O20" s="14">
        <f t="shared" si="4"/>
        <v>0</v>
      </c>
      <c r="P20" s="15">
        <f t="shared" si="5"/>
        <v>-3.0833333333333428</v>
      </c>
      <c r="Q20" s="541">
        <f t="shared" si="6"/>
        <v>0.96711111111111103</v>
      </c>
      <c r="R20" s="615"/>
      <c r="S20" s="34">
        <v>0.70833333333333337</v>
      </c>
      <c r="T20" s="34">
        <v>0.73958333333333337</v>
      </c>
      <c r="U20" s="540" t="str">
        <f t="shared" si="18"/>
        <v/>
      </c>
      <c r="V20" s="544">
        <f t="shared" si="17"/>
        <v>45</v>
      </c>
      <c r="W20" s="16"/>
      <c r="X20" s="16"/>
      <c r="Y20" s="16"/>
      <c r="Z20" s="16"/>
      <c r="AA20" s="617"/>
      <c r="AB20" s="617"/>
      <c r="AC20" s="18"/>
      <c r="AD20" s="18"/>
      <c r="AE20" s="14">
        <f t="shared" si="8"/>
        <v>-49.333333333333485</v>
      </c>
      <c r="AF20" s="541">
        <f t="shared" si="9"/>
        <v>0.96711111111111103</v>
      </c>
      <c r="AG20" s="615"/>
    </row>
    <row r="21" spans="1:33" ht="16.5" customHeight="1">
      <c r="A21" s="647" t="s">
        <v>2766</v>
      </c>
      <c r="B21" s="546" t="s">
        <v>15</v>
      </c>
      <c r="C21" s="547" t="s">
        <v>18</v>
      </c>
      <c r="D21" s="548"/>
      <c r="E21" s="29">
        <v>52.86</v>
      </c>
      <c r="F21" s="546">
        <v>557</v>
      </c>
      <c r="G21" s="540">
        <f t="shared" si="15"/>
        <v>29443.02</v>
      </c>
      <c r="H21" s="33" t="s">
        <v>57</v>
      </c>
      <c r="I21" s="543">
        <v>16</v>
      </c>
      <c r="J21" s="31">
        <v>2000</v>
      </c>
      <c r="K21" s="12">
        <f t="shared" si="1"/>
        <v>125</v>
      </c>
      <c r="L21" s="543">
        <v>16</v>
      </c>
      <c r="M21" s="13">
        <f t="shared" si="16"/>
        <v>1965.8823529411834</v>
      </c>
      <c r="N21" s="12">
        <f t="shared" si="3"/>
        <v>122.86764705882396</v>
      </c>
      <c r="O21" s="14">
        <f t="shared" si="4"/>
        <v>0</v>
      </c>
      <c r="P21" s="15">
        <f t="shared" si="5"/>
        <v>-2.1323529411760376</v>
      </c>
      <c r="Q21" s="541">
        <f t="shared" si="6"/>
        <v>0.98294117647059165</v>
      </c>
      <c r="R21" s="615"/>
      <c r="S21" s="34">
        <v>0.74375000000000002</v>
      </c>
      <c r="T21" s="34">
        <v>0.75555555555555554</v>
      </c>
      <c r="U21" s="540">
        <f t="shared" si="18"/>
        <v>5.9999999999999787</v>
      </c>
      <c r="V21" s="544">
        <f t="shared" si="17"/>
        <v>16.99999999999994</v>
      </c>
      <c r="W21" s="16"/>
      <c r="X21" s="16"/>
      <c r="Y21" s="19"/>
      <c r="Z21" s="19"/>
      <c r="AA21" s="536"/>
      <c r="AB21" s="537"/>
      <c r="AC21" s="18"/>
      <c r="AD21" s="18"/>
      <c r="AE21" s="14">
        <f t="shared" si="8"/>
        <v>-34.117647058816601</v>
      </c>
      <c r="AF21" s="541">
        <f t="shared" si="9"/>
        <v>0.98294117647059165</v>
      </c>
      <c r="AG21" s="615"/>
    </row>
    <row r="22" spans="1:33" ht="16.5" customHeight="1">
      <c r="A22" s="647" t="s">
        <v>2766</v>
      </c>
      <c r="B22" s="546" t="s">
        <v>15</v>
      </c>
      <c r="C22" s="547" t="s">
        <v>16</v>
      </c>
      <c r="D22" s="548"/>
      <c r="E22" s="29">
        <v>50.67</v>
      </c>
      <c r="F22" s="546">
        <v>1579</v>
      </c>
      <c r="G22" s="540">
        <f t="shared" si="15"/>
        <v>80007.930000000008</v>
      </c>
      <c r="H22" s="33" t="s">
        <v>57</v>
      </c>
      <c r="I22" s="543">
        <v>17</v>
      </c>
      <c r="J22" s="31">
        <v>2000</v>
      </c>
      <c r="K22" s="12">
        <f t="shared" si="1"/>
        <v>117.64705882352941</v>
      </c>
      <c r="L22" s="543">
        <v>17</v>
      </c>
      <c r="M22" s="13">
        <f t="shared" si="16"/>
        <v>1933.4693877551024</v>
      </c>
      <c r="N22" s="12">
        <f t="shared" si="3"/>
        <v>113.73349339735897</v>
      </c>
      <c r="O22" s="14">
        <f t="shared" si="4"/>
        <v>0</v>
      </c>
      <c r="P22" s="15">
        <f t="shared" si="5"/>
        <v>-3.913565426170436</v>
      </c>
      <c r="Q22" s="541">
        <f t="shared" si="6"/>
        <v>0.96673469387755129</v>
      </c>
      <c r="R22" s="615"/>
      <c r="S22" s="34">
        <v>0.75972222222222219</v>
      </c>
      <c r="T22" s="34">
        <v>0.79374999999999996</v>
      </c>
      <c r="U22" s="540">
        <f t="shared" si="18"/>
        <v>5.9999999999999787</v>
      </c>
      <c r="V22" s="544">
        <f t="shared" si="17"/>
        <v>48.999999999999986</v>
      </c>
      <c r="W22" s="16"/>
      <c r="X22" s="16"/>
      <c r="Y22" s="19"/>
      <c r="Z22" s="19"/>
      <c r="AA22" s="536"/>
      <c r="AB22" s="537"/>
      <c r="AC22" s="18"/>
      <c r="AD22" s="18"/>
      <c r="AE22" s="14">
        <f t="shared" si="8"/>
        <v>-66.530612244897611</v>
      </c>
      <c r="AF22" s="541">
        <f t="shared" si="9"/>
        <v>0.96673469387755118</v>
      </c>
      <c r="AG22" s="615"/>
    </row>
    <row r="23" spans="1:33" ht="16.5" customHeight="1">
      <c r="A23" s="647" t="s">
        <v>2765</v>
      </c>
      <c r="B23" s="29" t="s">
        <v>2761</v>
      </c>
      <c r="C23" s="618"/>
      <c r="D23" s="618"/>
      <c r="E23" s="542"/>
      <c r="F23" s="30"/>
      <c r="G23" s="12"/>
      <c r="H23" s="546"/>
      <c r="I23" s="23">
        <v>18.714285714285715</v>
      </c>
      <c r="J23" s="31">
        <v>1642.8571428571429</v>
      </c>
      <c r="K23" s="12">
        <f t="shared" si="1"/>
        <v>87.786259541984734</v>
      </c>
      <c r="L23" s="23">
        <v>18.714285714285715</v>
      </c>
      <c r="M23" s="13">
        <f>AVERAGE(M16:M22)</f>
        <v>1581.5209728418795</v>
      </c>
      <c r="N23" s="12">
        <f t="shared" si="3"/>
        <v>84.50875427399356</v>
      </c>
      <c r="O23" s="14">
        <f t="shared" si="4"/>
        <v>0</v>
      </c>
      <c r="P23" s="15">
        <f t="shared" si="5"/>
        <v>-3.2775052679911738</v>
      </c>
      <c r="Q23" s="541">
        <f t="shared" si="6"/>
        <v>0.96266493999070923</v>
      </c>
      <c r="R23" s="615"/>
      <c r="S23" s="34"/>
      <c r="T23" s="34"/>
      <c r="U23" s="540"/>
      <c r="V23" s="544"/>
      <c r="W23" s="12"/>
      <c r="X23" s="12"/>
      <c r="Y23" s="24">
        <f>SUM(Y16:Y22)</f>
        <v>0</v>
      </c>
      <c r="Z23" s="24">
        <f>SUM(Z16:Z22)</f>
        <v>0</v>
      </c>
      <c r="AA23" s="614"/>
      <c r="AB23" s="614"/>
      <c r="AC23" s="24">
        <v>7</v>
      </c>
      <c r="AD23" s="24">
        <f>SUM(AD16:AD22)</f>
        <v>0</v>
      </c>
      <c r="AE23" s="14">
        <f t="shared" si="8"/>
        <v>-61.336170015263406</v>
      </c>
      <c r="AF23" s="541">
        <f t="shared" si="9"/>
        <v>0.96266493999070923</v>
      </c>
      <c r="AG23" s="615"/>
    </row>
    <row r="24" spans="1:33" ht="15.75" customHeight="1">
      <c r="A24" s="642" t="s">
        <v>2767</v>
      </c>
      <c r="B24" s="29" t="s">
        <v>15</v>
      </c>
      <c r="C24" s="640" t="s">
        <v>28</v>
      </c>
      <c r="D24" s="640"/>
      <c r="E24" s="29">
        <v>50.67</v>
      </c>
      <c r="F24" s="546">
        <v>2180</v>
      </c>
      <c r="G24" s="540">
        <f t="shared" ref="G24:G29" si="19">E24*F24</f>
        <v>110460.6</v>
      </c>
      <c r="H24" s="33" t="s">
        <v>57</v>
      </c>
      <c r="I24" s="543">
        <v>17</v>
      </c>
      <c r="J24" s="31">
        <v>2000</v>
      </c>
      <c r="K24" s="12">
        <f t="shared" si="1"/>
        <v>117.64705882352941</v>
      </c>
      <c r="L24" s="543">
        <v>17</v>
      </c>
      <c r="M24" s="13">
        <f t="shared" ref="M24:M29" si="20">F24/V24*60</f>
        <v>1923.529411764707</v>
      </c>
      <c r="N24" s="12">
        <f t="shared" si="3"/>
        <v>113.1487889273357</v>
      </c>
      <c r="O24" s="14">
        <f t="shared" si="4"/>
        <v>0</v>
      </c>
      <c r="P24" s="15">
        <f t="shared" si="5"/>
        <v>-4.4982698961937047</v>
      </c>
      <c r="Q24" s="541">
        <f t="shared" si="6"/>
        <v>0.96176470588235352</v>
      </c>
      <c r="R24" s="615">
        <f>Q30</f>
        <v>0.96072022253931644</v>
      </c>
      <c r="S24" s="34">
        <v>0.20833333333333334</v>
      </c>
      <c r="T24" s="34">
        <v>0.25555555555555554</v>
      </c>
      <c r="U24" s="540"/>
      <c r="V24" s="544">
        <f t="shared" ref="V24:V29" si="21">(T24-S24)*24*60</f>
        <v>67.999999999999957</v>
      </c>
      <c r="W24" s="21"/>
      <c r="X24" s="21"/>
      <c r="Y24" s="21"/>
      <c r="Z24" s="21"/>
      <c r="AA24" s="617"/>
      <c r="AB24" s="617"/>
      <c r="AC24" s="18">
        <v>6</v>
      </c>
      <c r="AD24" s="18"/>
      <c r="AE24" s="14">
        <f t="shared" si="8"/>
        <v>-76.470588235293008</v>
      </c>
      <c r="AF24" s="541">
        <f t="shared" si="9"/>
        <v>0.96176470588235352</v>
      </c>
      <c r="AG24" s="615">
        <f>AF30</f>
        <v>0.96072022253931633</v>
      </c>
    </row>
    <row r="25" spans="1:33" ht="15.75" customHeight="1">
      <c r="A25" s="643" t="s">
        <v>2767</v>
      </c>
      <c r="B25" s="29" t="s">
        <v>15</v>
      </c>
      <c r="C25" s="640" t="s">
        <v>29</v>
      </c>
      <c r="D25" s="640"/>
      <c r="E25" s="29">
        <v>57.73</v>
      </c>
      <c r="F25" s="546">
        <v>2718</v>
      </c>
      <c r="G25" s="540">
        <f t="shared" si="19"/>
        <v>156910.13999999998</v>
      </c>
      <c r="H25" s="33" t="s">
        <v>57</v>
      </c>
      <c r="I25" s="543">
        <v>14</v>
      </c>
      <c r="J25" s="31">
        <v>2000</v>
      </c>
      <c r="K25" s="12">
        <f t="shared" si="1"/>
        <v>142.85714285714286</v>
      </c>
      <c r="L25" s="543">
        <v>14</v>
      </c>
      <c r="M25" s="13">
        <f t="shared" si="20"/>
        <v>1918.5882352941171</v>
      </c>
      <c r="N25" s="12">
        <f t="shared" si="3"/>
        <v>137.04201680672264</v>
      </c>
      <c r="O25" s="14">
        <f t="shared" si="4"/>
        <v>0</v>
      </c>
      <c r="P25" s="15">
        <f t="shared" si="5"/>
        <v>-5.8151260504202185</v>
      </c>
      <c r="Q25" s="541">
        <f t="shared" si="6"/>
        <v>0.95929411764705852</v>
      </c>
      <c r="R25" s="615"/>
      <c r="S25" s="34">
        <v>0.25902777777777775</v>
      </c>
      <c r="T25" s="34">
        <v>0.31805555555555554</v>
      </c>
      <c r="U25" s="540">
        <f t="shared" ref="U25:U29" si="22">IF(S25=TIME(17,0,0),"",(S25-T24)*24*60)</f>
        <v>4.9999999999999822</v>
      </c>
      <c r="V25" s="544">
        <f t="shared" si="21"/>
        <v>85.000000000000014</v>
      </c>
      <c r="W25" s="16"/>
      <c r="X25" s="540"/>
      <c r="Y25" s="540"/>
      <c r="Z25" s="540"/>
      <c r="AA25" s="617"/>
      <c r="AB25" s="617"/>
      <c r="AC25" s="18"/>
      <c r="AD25" s="18"/>
      <c r="AE25" s="14">
        <f t="shared" si="8"/>
        <v>-81.411764705882888</v>
      </c>
      <c r="AF25" s="541">
        <f t="shared" si="9"/>
        <v>0.95929411764705852</v>
      </c>
      <c r="AG25" s="615"/>
    </row>
    <row r="26" spans="1:33" ht="15.75" customHeight="1">
      <c r="A26" s="643" t="s">
        <v>2767</v>
      </c>
      <c r="B26" s="29" t="s">
        <v>15</v>
      </c>
      <c r="C26" s="640" t="s">
        <v>80</v>
      </c>
      <c r="D26" s="640"/>
      <c r="E26" s="29">
        <v>53.27</v>
      </c>
      <c r="F26" s="546">
        <v>1897</v>
      </c>
      <c r="G26" s="540">
        <f t="shared" si="19"/>
        <v>101053.19</v>
      </c>
      <c r="H26" s="33" t="s">
        <v>57</v>
      </c>
      <c r="I26" s="543">
        <v>16</v>
      </c>
      <c r="J26" s="31">
        <v>2000</v>
      </c>
      <c r="K26" s="12">
        <f t="shared" si="1"/>
        <v>125</v>
      </c>
      <c r="L26" s="543">
        <v>16</v>
      </c>
      <c r="M26" s="13">
        <f t="shared" si="20"/>
        <v>1929.1525423728806</v>
      </c>
      <c r="N26" s="12">
        <f t="shared" si="3"/>
        <v>120.57203389830504</v>
      </c>
      <c r="O26" s="14">
        <f t="shared" si="4"/>
        <v>0</v>
      </c>
      <c r="P26" s="15">
        <f t="shared" si="5"/>
        <v>-4.4279661016949632</v>
      </c>
      <c r="Q26" s="541">
        <f t="shared" si="6"/>
        <v>0.96457627118644029</v>
      </c>
      <c r="R26" s="615"/>
      <c r="S26" s="34">
        <v>0.32152777777777775</v>
      </c>
      <c r="T26" s="34">
        <v>0.36249999999999999</v>
      </c>
      <c r="U26" s="540">
        <f t="shared" si="22"/>
        <v>4.9999999999999822</v>
      </c>
      <c r="V26" s="544">
        <f t="shared" si="21"/>
        <v>59.000000000000028</v>
      </c>
      <c r="W26" s="16"/>
      <c r="X26" s="540"/>
      <c r="Y26" s="540"/>
      <c r="Z26" s="540"/>
      <c r="AA26" s="617"/>
      <c r="AB26" s="617"/>
      <c r="AC26" s="18"/>
      <c r="AD26" s="18"/>
      <c r="AE26" s="14">
        <f t="shared" si="8"/>
        <v>-70.847457627119411</v>
      </c>
      <c r="AF26" s="541">
        <f t="shared" si="9"/>
        <v>0.96457627118644029</v>
      </c>
      <c r="AG26" s="615"/>
    </row>
    <row r="27" spans="1:33" ht="15.75" customHeight="1">
      <c r="A27" s="643" t="s">
        <v>2767</v>
      </c>
      <c r="B27" s="29" t="s">
        <v>15</v>
      </c>
      <c r="C27" s="640" t="s">
        <v>1472</v>
      </c>
      <c r="D27" s="640"/>
      <c r="E27" s="29">
        <v>51.44</v>
      </c>
      <c r="F27" s="546">
        <v>2269</v>
      </c>
      <c r="G27" s="540">
        <f t="shared" si="19"/>
        <v>116717.36</v>
      </c>
      <c r="H27" s="33" t="s">
        <v>57</v>
      </c>
      <c r="I27" s="543">
        <v>25</v>
      </c>
      <c r="J27" s="31">
        <v>2000</v>
      </c>
      <c r="K27" s="12">
        <f t="shared" si="1"/>
        <v>80</v>
      </c>
      <c r="L27" s="543">
        <v>25</v>
      </c>
      <c r="M27" s="13">
        <f t="shared" si="20"/>
        <v>1917.4647887323949</v>
      </c>
      <c r="N27" s="12">
        <f t="shared" si="3"/>
        <v>76.698591549295799</v>
      </c>
      <c r="O27" s="14">
        <f t="shared" si="4"/>
        <v>0</v>
      </c>
      <c r="P27" s="15">
        <f t="shared" si="5"/>
        <v>-3.3014084507042014</v>
      </c>
      <c r="Q27" s="541">
        <f t="shared" si="6"/>
        <v>0.9587323943661975</v>
      </c>
      <c r="R27" s="615"/>
      <c r="S27" s="34">
        <v>0.3659722222222222</v>
      </c>
      <c r="T27" s="34">
        <v>0.41527777777777775</v>
      </c>
      <c r="U27" s="540">
        <f t="shared" si="22"/>
        <v>4.9999999999999822</v>
      </c>
      <c r="V27" s="544">
        <f t="shared" si="21"/>
        <v>70.999999999999986</v>
      </c>
      <c r="W27" s="16"/>
      <c r="X27" s="540"/>
      <c r="Y27" s="540"/>
      <c r="Z27" s="540"/>
      <c r="AA27" s="617"/>
      <c r="AB27" s="617"/>
      <c r="AC27" s="18"/>
      <c r="AD27" s="18"/>
      <c r="AE27" s="14">
        <f t="shared" si="8"/>
        <v>-82.535211267605064</v>
      </c>
      <c r="AF27" s="541">
        <f t="shared" si="9"/>
        <v>0.9587323943661975</v>
      </c>
      <c r="AG27" s="615"/>
    </row>
    <row r="28" spans="1:33" ht="15.75" customHeight="1">
      <c r="A28" s="643" t="s">
        <v>2767</v>
      </c>
      <c r="B28" s="29" t="s">
        <v>15</v>
      </c>
      <c r="C28" s="640" t="s">
        <v>30</v>
      </c>
      <c r="D28" s="640"/>
      <c r="E28" s="29">
        <v>50.49</v>
      </c>
      <c r="F28" s="546">
        <v>2076</v>
      </c>
      <c r="G28" s="540">
        <f t="shared" si="19"/>
        <v>104817.24</v>
      </c>
      <c r="H28" s="33" t="s">
        <v>57</v>
      </c>
      <c r="I28" s="543">
        <v>15</v>
      </c>
      <c r="J28" s="31">
        <v>2000</v>
      </c>
      <c r="K28" s="12">
        <f t="shared" si="1"/>
        <v>133.33333333333334</v>
      </c>
      <c r="L28" s="543">
        <v>15</v>
      </c>
      <c r="M28" s="13">
        <f t="shared" si="20"/>
        <v>1916.3076923076944</v>
      </c>
      <c r="N28" s="12">
        <f t="shared" si="3"/>
        <v>127.7538461538463</v>
      </c>
      <c r="O28" s="14">
        <f t="shared" si="4"/>
        <v>0</v>
      </c>
      <c r="P28" s="15">
        <f t="shared" si="5"/>
        <v>-5.579487179487046</v>
      </c>
      <c r="Q28" s="541">
        <f t="shared" si="6"/>
        <v>0.95815384615384713</v>
      </c>
      <c r="R28" s="615"/>
      <c r="S28" s="34">
        <v>0.70833333333333337</v>
      </c>
      <c r="T28" s="34">
        <v>0.75347222222222221</v>
      </c>
      <c r="U28" s="540" t="str">
        <f t="shared" si="22"/>
        <v/>
      </c>
      <c r="V28" s="544">
        <f t="shared" si="21"/>
        <v>64.999999999999929</v>
      </c>
      <c r="W28" s="16"/>
      <c r="X28" s="16"/>
      <c r="Y28" s="540"/>
      <c r="Z28" s="540"/>
      <c r="AA28" s="617"/>
      <c r="AB28" s="617"/>
      <c r="AC28" s="18"/>
      <c r="AD28" s="18"/>
      <c r="AE28" s="14">
        <f t="shared" si="8"/>
        <v>-83.692307692305576</v>
      </c>
      <c r="AF28" s="541">
        <f t="shared" si="9"/>
        <v>0.95815384615384724</v>
      </c>
      <c r="AG28" s="615"/>
    </row>
    <row r="29" spans="1:33" ht="15.75" customHeight="1">
      <c r="A29" s="643" t="s">
        <v>2767</v>
      </c>
      <c r="B29" s="29" t="s">
        <v>15</v>
      </c>
      <c r="C29" s="640" t="s">
        <v>82</v>
      </c>
      <c r="D29" s="640"/>
      <c r="E29" s="29">
        <v>51.06</v>
      </c>
      <c r="F29" s="546">
        <v>3206</v>
      </c>
      <c r="G29" s="540">
        <f t="shared" si="19"/>
        <v>163698.36000000002</v>
      </c>
      <c r="H29" s="33" t="s">
        <v>57</v>
      </c>
      <c r="I29" s="543">
        <v>13</v>
      </c>
      <c r="J29" s="31">
        <v>2000</v>
      </c>
      <c r="K29" s="12">
        <f t="shared" si="1"/>
        <v>153.84615384615384</v>
      </c>
      <c r="L29" s="543">
        <v>13</v>
      </c>
      <c r="M29" s="13">
        <f t="shared" si="20"/>
        <v>1923.6000000000006</v>
      </c>
      <c r="N29" s="12">
        <f t="shared" si="3"/>
        <v>147.96923076923082</v>
      </c>
      <c r="O29" s="14">
        <f t="shared" si="4"/>
        <v>0</v>
      </c>
      <c r="P29" s="15">
        <f t="shared" si="5"/>
        <v>-5.8769230769230205</v>
      </c>
      <c r="Q29" s="541">
        <f t="shared" si="6"/>
        <v>0.96180000000000032</v>
      </c>
      <c r="R29" s="615"/>
      <c r="S29" s="34">
        <v>0.7583333333333333</v>
      </c>
      <c r="T29" s="34">
        <v>0.82777777777777772</v>
      </c>
      <c r="U29" s="540">
        <f t="shared" si="22"/>
        <v>6.9999999999999751</v>
      </c>
      <c r="V29" s="544">
        <f t="shared" si="21"/>
        <v>99.999999999999972</v>
      </c>
      <c r="W29" s="16"/>
      <c r="X29" s="21"/>
      <c r="Y29" s="21"/>
      <c r="Z29" s="21"/>
      <c r="AA29" s="617"/>
      <c r="AB29" s="617"/>
      <c r="AC29" s="18"/>
      <c r="AD29" s="18"/>
      <c r="AE29" s="14">
        <f t="shared" si="8"/>
        <v>-76.399999999999409</v>
      </c>
      <c r="AF29" s="541">
        <f t="shared" si="9"/>
        <v>0.96180000000000032</v>
      </c>
      <c r="AG29" s="615"/>
    </row>
    <row r="30" spans="1:33" ht="15.75" customHeight="1">
      <c r="A30" s="643" t="s">
        <v>2767</v>
      </c>
      <c r="B30" s="29" t="s">
        <v>2761</v>
      </c>
      <c r="C30" s="618"/>
      <c r="D30" s="618"/>
      <c r="E30" s="542"/>
      <c r="F30" s="546"/>
      <c r="G30" s="540"/>
      <c r="H30" s="546"/>
      <c r="I30" s="23">
        <v>16.666666666666668</v>
      </c>
      <c r="J30" s="31">
        <v>2000</v>
      </c>
      <c r="K30" s="12">
        <f t="shared" si="1"/>
        <v>119.99999999999999</v>
      </c>
      <c r="L30" s="23">
        <v>16.666666666666668</v>
      </c>
      <c r="M30" s="13">
        <f>AVERAGE(M24:M29)</f>
        <v>1921.4404450786326</v>
      </c>
      <c r="N30" s="12">
        <f t="shared" si="3"/>
        <v>115.28642670471795</v>
      </c>
      <c r="O30" s="14">
        <f t="shared" si="4"/>
        <v>0</v>
      </c>
      <c r="P30" s="15">
        <f t="shared" si="5"/>
        <v>-4.7135732952820319</v>
      </c>
      <c r="Q30" s="541">
        <f t="shared" si="6"/>
        <v>0.96072022253931644</v>
      </c>
      <c r="R30" s="615"/>
      <c r="S30" s="34"/>
      <c r="T30" s="34"/>
      <c r="U30" s="12"/>
      <c r="V30" s="544"/>
      <c r="W30" s="12"/>
      <c r="X30" s="12"/>
      <c r="Y30" s="24">
        <f>SUM(Y24:Y29)</f>
        <v>0</v>
      </c>
      <c r="Z30" s="24">
        <f>SUM(Z24:Z29)</f>
        <v>0</v>
      </c>
      <c r="AA30" s="614"/>
      <c r="AB30" s="614"/>
      <c r="AC30" s="24">
        <v>6</v>
      </c>
      <c r="AD30" s="24">
        <f>SUM(AD24:AD29)</f>
        <v>0</v>
      </c>
      <c r="AE30" s="14">
        <f t="shared" si="8"/>
        <v>-78.559554921367408</v>
      </c>
      <c r="AF30" s="541">
        <f t="shared" si="9"/>
        <v>0.96072022253931633</v>
      </c>
      <c r="AG30" s="615"/>
    </row>
    <row r="31" spans="1:33" ht="15.75" customHeight="1">
      <c r="A31" s="641" t="s">
        <v>2768</v>
      </c>
      <c r="B31" s="29" t="s">
        <v>32</v>
      </c>
      <c r="C31" s="640" t="s">
        <v>33</v>
      </c>
      <c r="D31" s="640"/>
      <c r="E31" s="29">
        <v>31.29</v>
      </c>
      <c r="F31" s="546">
        <v>5800</v>
      </c>
      <c r="G31" s="540">
        <f t="shared" ref="G31:G38" si="23">E31*F31</f>
        <v>181482</v>
      </c>
      <c r="H31" s="33">
        <v>2</v>
      </c>
      <c r="I31" s="543">
        <v>18</v>
      </c>
      <c r="J31" s="31">
        <v>2400</v>
      </c>
      <c r="K31" s="12">
        <f t="shared" si="1"/>
        <v>133.33333333333334</v>
      </c>
      <c r="L31" s="543">
        <v>18</v>
      </c>
      <c r="M31" s="13">
        <f t="shared" ref="M31:M38" si="24">F31/V31*60</f>
        <v>2289.4736842105262</v>
      </c>
      <c r="N31" s="12">
        <f t="shared" si="3"/>
        <v>127.19298245614034</v>
      </c>
      <c r="O31" s="14">
        <f t="shared" si="4"/>
        <v>0</v>
      </c>
      <c r="P31" s="15">
        <f t="shared" si="5"/>
        <v>-6.1403508771930007</v>
      </c>
      <c r="Q31" s="541">
        <f t="shared" si="6"/>
        <v>0.95394736842105254</v>
      </c>
      <c r="R31" s="615">
        <f>Q39</f>
        <v>0.95774525627556895</v>
      </c>
      <c r="S31" s="34">
        <v>8.3333333333333329E-2</v>
      </c>
      <c r="T31" s="34">
        <v>0.18888888888888888</v>
      </c>
      <c r="U31" s="540"/>
      <c r="V31" s="544">
        <f t="shared" ref="V31:V38" si="25">(T31-S31)*24*60</f>
        <v>152</v>
      </c>
      <c r="W31" s="16">
        <f>T31</f>
        <v>0.18888888888888888</v>
      </c>
      <c r="X31" s="16">
        <f>S32</f>
        <v>0.20833333333333334</v>
      </c>
      <c r="Y31" s="16"/>
      <c r="Z31" s="16"/>
      <c r="AA31" s="617"/>
      <c r="AB31" s="617"/>
      <c r="AC31" s="18">
        <v>8</v>
      </c>
      <c r="AD31" s="18"/>
      <c r="AE31" s="14">
        <f t="shared" si="8"/>
        <v>-110.52631578947376</v>
      </c>
      <c r="AF31" s="541">
        <f t="shared" si="9"/>
        <v>0.95394736842105265</v>
      </c>
      <c r="AG31" s="615">
        <f>AF39</f>
        <v>0.95774525627556895</v>
      </c>
    </row>
    <row r="32" spans="1:33" ht="15.75" customHeight="1">
      <c r="A32" s="641" t="s">
        <v>2768</v>
      </c>
      <c r="B32" s="29" t="s">
        <v>32</v>
      </c>
      <c r="C32" s="640" t="s">
        <v>34</v>
      </c>
      <c r="D32" s="640"/>
      <c r="E32" s="29">
        <v>26.37</v>
      </c>
      <c r="F32" s="546">
        <v>3900</v>
      </c>
      <c r="G32" s="540">
        <f t="shared" si="23"/>
        <v>102843</v>
      </c>
      <c r="H32" s="33">
        <v>2</v>
      </c>
      <c r="I32" s="543">
        <v>18</v>
      </c>
      <c r="J32" s="31">
        <v>2400</v>
      </c>
      <c r="K32" s="12">
        <f t="shared" si="1"/>
        <v>133.33333333333334</v>
      </c>
      <c r="L32" s="543">
        <v>18</v>
      </c>
      <c r="M32" s="13">
        <f t="shared" si="24"/>
        <v>2294.1176470588234</v>
      </c>
      <c r="N32" s="12">
        <f t="shared" si="3"/>
        <v>127.45098039215685</v>
      </c>
      <c r="O32" s="14">
        <f t="shared" si="4"/>
        <v>0</v>
      </c>
      <c r="P32" s="15">
        <f t="shared" si="5"/>
        <v>-5.8823529411764923</v>
      </c>
      <c r="Q32" s="541">
        <f t="shared" si="6"/>
        <v>0.95588235294117629</v>
      </c>
      <c r="R32" s="615"/>
      <c r="S32" s="34">
        <v>0.20833333333333334</v>
      </c>
      <c r="T32" s="34">
        <v>0.27916666666666667</v>
      </c>
      <c r="U32" s="540">
        <f t="shared" ref="U32:U38" si="26">(S32-T31)*24*60</f>
        <v>28.000000000000021</v>
      </c>
      <c r="V32" s="544">
        <f t="shared" si="25"/>
        <v>102</v>
      </c>
      <c r="W32" s="16"/>
      <c r="X32" s="16"/>
      <c r="Y32" s="16"/>
      <c r="Z32" s="16"/>
      <c r="AA32" s="617"/>
      <c r="AB32" s="617"/>
      <c r="AC32" s="18"/>
      <c r="AD32" s="18"/>
      <c r="AE32" s="14">
        <f t="shared" si="8"/>
        <v>-105.88235294117658</v>
      </c>
      <c r="AF32" s="541">
        <f t="shared" si="9"/>
        <v>0.95588235294117641</v>
      </c>
      <c r="AG32" s="615"/>
    </row>
    <row r="33" spans="1:33" ht="15.75" customHeight="1">
      <c r="A33" s="641" t="s">
        <v>2768</v>
      </c>
      <c r="B33" s="29" t="s">
        <v>32</v>
      </c>
      <c r="C33" s="640" t="s">
        <v>76</v>
      </c>
      <c r="D33" s="640"/>
      <c r="E33" s="29">
        <v>26.18</v>
      </c>
      <c r="F33" s="546">
        <v>4700</v>
      </c>
      <c r="G33" s="540">
        <f t="shared" si="23"/>
        <v>123046</v>
      </c>
      <c r="H33" s="33">
        <v>2</v>
      </c>
      <c r="I33" s="543">
        <v>18</v>
      </c>
      <c r="J33" s="31">
        <v>2400</v>
      </c>
      <c r="K33" s="12">
        <f t="shared" si="1"/>
        <v>133.33333333333334</v>
      </c>
      <c r="L33" s="543">
        <v>18</v>
      </c>
      <c r="M33" s="13">
        <f t="shared" si="24"/>
        <v>2292.682926829269</v>
      </c>
      <c r="N33" s="12">
        <f t="shared" si="3"/>
        <v>127.37127371273716</v>
      </c>
      <c r="O33" s="14">
        <f t="shared" si="4"/>
        <v>0</v>
      </c>
      <c r="P33" s="15">
        <f t="shared" si="5"/>
        <v>-5.9620596205961789</v>
      </c>
      <c r="Q33" s="541">
        <f t="shared" si="6"/>
        <v>0.95528455284552871</v>
      </c>
      <c r="R33" s="615"/>
      <c r="S33" s="34">
        <v>0.28263888888888888</v>
      </c>
      <c r="T33" s="34">
        <v>0.36805555555555552</v>
      </c>
      <c r="U33" s="540">
        <f t="shared" si="26"/>
        <v>4.9999999999999822</v>
      </c>
      <c r="V33" s="544">
        <f t="shared" si="25"/>
        <v>122.99999999999996</v>
      </c>
      <c r="W33" s="16"/>
      <c r="X33" s="16"/>
      <c r="Y33" s="16"/>
      <c r="Z33" s="16"/>
      <c r="AA33" s="617"/>
      <c r="AB33" s="617"/>
      <c r="AC33" s="18"/>
      <c r="AD33" s="18"/>
      <c r="AE33" s="14">
        <f t="shared" si="8"/>
        <v>-107.31707317073096</v>
      </c>
      <c r="AF33" s="541">
        <f t="shared" si="9"/>
        <v>0.95528455284552871</v>
      </c>
      <c r="AG33" s="615"/>
    </row>
    <row r="34" spans="1:33" ht="15.75" customHeight="1">
      <c r="A34" s="641" t="s">
        <v>2768</v>
      </c>
      <c r="B34" s="29" t="s">
        <v>32</v>
      </c>
      <c r="C34" s="640" t="s">
        <v>79</v>
      </c>
      <c r="D34" s="640"/>
      <c r="E34" s="29">
        <v>25.99</v>
      </c>
      <c r="F34" s="546">
        <v>1778</v>
      </c>
      <c r="G34" s="540">
        <f t="shared" si="23"/>
        <v>46210.219999999994</v>
      </c>
      <c r="H34" s="33" t="s">
        <v>57</v>
      </c>
      <c r="I34" s="543">
        <v>18</v>
      </c>
      <c r="J34" s="31">
        <v>2400</v>
      </c>
      <c r="K34" s="12">
        <f t="shared" si="1"/>
        <v>133.33333333333334</v>
      </c>
      <c r="L34" s="543">
        <v>18</v>
      </c>
      <c r="M34" s="13">
        <f t="shared" si="24"/>
        <v>2319.1304347826085</v>
      </c>
      <c r="N34" s="12">
        <f t="shared" si="3"/>
        <v>128.84057971014491</v>
      </c>
      <c r="O34" s="14">
        <f t="shared" si="4"/>
        <v>0</v>
      </c>
      <c r="P34" s="15">
        <f t="shared" si="5"/>
        <v>-4.4927536231884346</v>
      </c>
      <c r="Q34" s="541">
        <f t="shared" si="6"/>
        <v>0.96630434782608676</v>
      </c>
      <c r="R34" s="615"/>
      <c r="S34" s="34">
        <v>0.37291666666666662</v>
      </c>
      <c r="T34" s="34">
        <v>0.40486111111111106</v>
      </c>
      <c r="U34" s="540">
        <f t="shared" si="26"/>
        <v>6.9999999999999751</v>
      </c>
      <c r="V34" s="544">
        <f t="shared" si="25"/>
        <v>46</v>
      </c>
      <c r="W34" s="16"/>
      <c r="X34" s="16"/>
      <c r="Y34" s="16"/>
      <c r="Z34" s="16"/>
      <c r="AA34" s="617"/>
      <c r="AB34" s="617"/>
      <c r="AC34" s="18"/>
      <c r="AD34" s="18"/>
      <c r="AE34" s="14">
        <f t="shared" si="8"/>
        <v>-80.869565217391482</v>
      </c>
      <c r="AF34" s="541">
        <f t="shared" si="9"/>
        <v>0.96630434782608687</v>
      </c>
      <c r="AG34" s="615"/>
    </row>
    <row r="35" spans="1:33" ht="15.75" customHeight="1">
      <c r="A35" s="641" t="s">
        <v>2768</v>
      </c>
      <c r="B35" s="29" t="s">
        <v>32</v>
      </c>
      <c r="C35" s="640" t="s">
        <v>35</v>
      </c>
      <c r="D35" s="640"/>
      <c r="E35" s="29">
        <v>25.99</v>
      </c>
      <c r="F35" s="546">
        <v>4394</v>
      </c>
      <c r="G35" s="540">
        <f t="shared" si="23"/>
        <v>114200.06</v>
      </c>
      <c r="H35" s="33" t="s">
        <v>57</v>
      </c>
      <c r="I35" s="543">
        <v>14</v>
      </c>
      <c r="J35" s="31">
        <v>2400</v>
      </c>
      <c r="K35" s="12">
        <f t="shared" si="1"/>
        <v>171.42857142857142</v>
      </c>
      <c r="L35" s="543">
        <v>14</v>
      </c>
      <c r="M35" s="13">
        <f t="shared" si="24"/>
        <v>2292.521739130435</v>
      </c>
      <c r="N35" s="12">
        <f t="shared" si="3"/>
        <v>163.75155279503107</v>
      </c>
      <c r="O35" s="14">
        <f t="shared" si="4"/>
        <v>0</v>
      </c>
      <c r="P35" s="15">
        <f t="shared" si="5"/>
        <v>-7.6770186335403423</v>
      </c>
      <c r="Q35" s="541">
        <f t="shared" si="6"/>
        <v>0.95521739130434802</v>
      </c>
      <c r="R35" s="615"/>
      <c r="S35" s="34">
        <v>0.40833333333333327</v>
      </c>
      <c r="T35" s="34">
        <v>0.48819444444444438</v>
      </c>
      <c r="U35" s="540">
        <f t="shared" si="26"/>
        <v>4.9999999999999822</v>
      </c>
      <c r="V35" s="544">
        <f t="shared" si="25"/>
        <v>114.99999999999999</v>
      </c>
      <c r="W35" s="16">
        <f>T35</f>
        <v>0.48819444444444438</v>
      </c>
      <c r="X35" s="16">
        <f>S36</f>
        <v>0.52916666666666656</v>
      </c>
      <c r="Y35" s="16"/>
      <c r="Z35" s="16"/>
      <c r="AA35" s="617"/>
      <c r="AB35" s="617"/>
      <c r="AC35" s="18"/>
      <c r="AD35" s="18"/>
      <c r="AE35" s="14">
        <f t="shared" si="8"/>
        <v>-107.47826086956502</v>
      </c>
      <c r="AF35" s="541">
        <f t="shared" si="9"/>
        <v>0.95521739130434791</v>
      </c>
      <c r="AG35" s="615"/>
    </row>
    <row r="36" spans="1:33" ht="15.75" customHeight="1">
      <c r="A36" s="641" t="s">
        <v>2768</v>
      </c>
      <c r="B36" s="29" t="s">
        <v>32</v>
      </c>
      <c r="C36" s="640" t="s">
        <v>76</v>
      </c>
      <c r="D36" s="640"/>
      <c r="E36" s="29">
        <v>26.18</v>
      </c>
      <c r="F36" s="546">
        <v>3576</v>
      </c>
      <c r="G36" s="540">
        <f t="shared" si="23"/>
        <v>93619.68</v>
      </c>
      <c r="H36" s="33" t="s">
        <v>57</v>
      </c>
      <c r="I36" s="543">
        <v>18</v>
      </c>
      <c r="J36" s="31">
        <v>2400</v>
      </c>
      <c r="K36" s="12">
        <f t="shared" si="1"/>
        <v>133.33333333333334</v>
      </c>
      <c r="L36" s="543">
        <v>18</v>
      </c>
      <c r="M36" s="13">
        <f t="shared" si="24"/>
        <v>2307.0967741935488</v>
      </c>
      <c r="N36" s="12">
        <f t="shared" si="3"/>
        <v>128.1720430107527</v>
      </c>
      <c r="O36" s="14">
        <f t="shared" si="4"/>
        <v>0</v>
      </c>
      <c r="P36" s="15">
        <f t="shared" si="5"/>
        <v>-5.1612903225806406</v>
      </c>
      <c r="Q36" s="541">
        <f t="shared" si="6"/>
        <v>0.96129032258064517</v>
      </c>
      <c r="R36" s="615"/>
      <c r="S36" s="34">
        <v>0.52916666666666656</v>
      </c>
      <c r="T36" s="34">
        <v>0.59374999999999989</v>
      </c>
      <c r="U36" s="540">
        <f t="shared" si="26"/>
        <v>58.99999999999995</v>
      </c>
      <c r="V36" s="544">
        <f t="shared" si="25"/>
        <v>92.999999999999986</v>
      </c>
      <c r="W36" s="16"/>
      <c r="X36" s="16"/>
      <c r="Y36" s="16"/>
      <c r="Z36" s="16"/>
      <c r="AA36" s="617"/>
      <c r="AB36" s="617"/>
      <c r="AC36" s="18"/>
      <c r="AD36" s="18"/>
      <c r="AE36" s="14">
        <f t="shared" si="8"/>
        <v>-92.903225806451246</v>
      </c>
      <c r="AF36" s="541">
        <f t="shared" si="9"/>
        <v>0.96129032258064528</v>
      </c>
      <c r="AG36" s="615"/>
    </row>
    <row r="37" spans="1:33" ht="15.75" customHeight="1">
      <c r="A37" s="641" t="s">
        <v>2769</v>
      </c>
      <c r="B37" s="29" t="s">
        <v>32</v>
      </c>
      <c r="C37" s="640" t="s">
        <v>34</v>
      </c>
      <c r="D37" s="640"/>
      <c r="E37" s="29">
        <v>26.37</v>
      </c>
      <c r="F37" s="546">
        <v>2679</v>
      </c>
      <c r="G37" s="540">
        <f t="shared" si="23"/>
        <v>70645.23</v>
      </c>
      <c r="H37" s="33" t="s">
        <v>57</v>
      </c>
      <c r="I37" s="543">
        <v>18</v>
      </c>
      <c r="J37" s="31">
        <v>2400</v>
      </c>
      <c r="K37" s="12">
        <f t="shared" si="1"/>
        <v>133.33333333333334</v>
      </c>
      <c r="L37" s="543">
        <v>18</v>
      </c>
      <c r="M37" s="13">
        <f t="shared" si="24"/>
        <v>2296.2857142857119</v>
      </c>
      <c r="N37" s="12">
        <f t="shared" si="3"/>
        <v>127.57142857142844</v>
      </c>
      <c r="O37" s="14">
        <f t="shared" si="4"/>
        <v>0</v>
      </c>
      <c r="P37" s="15">
        <f t="shared" si="5"/>
        <v>-5.7619047619049013</v>
      </c>
      <c r="Q37" s="541">
        <f t="shared" si="6"/>
        <v>0.95678571428571324</v>
      </c>
      <c r="R37" s="615"/>
      <c r="S37" s="34">
        <v>0.59791666666666654</v>
      </c>
      <c r="T37" s="34">
        <v>0.6465277777777777</v>
      </c>
      <c r="U37" s="540">
        <f t="shared" si="26"/>
        <v>5.9999999999999787</v>
      </c>
      <c r="V37" s="544">
        <f t="shared" si="25"/>
        <v>70.000000000000071</v>
      </c>
      <c r="W37" s="16"/>
      <c r="X37" s="16"/>
      <c r="Y37" s="16"/>
      <c r="Z37" s="16"/>
      <c r="AA37" s="617"/>
      <c r="AB37" s="617"/>
      <c r="AC37" s="18"/>
      <c r="AD37" s="18"/>
      <c r="AE37" s="14">
        <f t="shared" si="8"/>
        <v>-103.71428571428805</v>
      </c>
      <c r="AF37" s="541">
        <f t="shared" si="9"/>
        <v>0.95678571428571335</v>
      </c>
      <c r="AG37" s="615"/>
    </row>
    <row r="38" spans="1:33" ht="15.75" customHeight="1">
      <c r="A38" s="641" t="s">
        <v>2768</v>
      </c>
      <c r="B38" s="29" t="s">
        <v>32</v>
      </c>
      <c r="C38" s="547" t="s">
        <v>33</v>
      </c>
      <c r="D38" s="548"/>
      <c r="E38" s="29">
        <v>31.29</v>
      </c>
      <c r="F38" s="546">
        <v>3829</v>
      </c>
      <c r="G38" s="540">
        <f t="shared" si="23"/>
        <v>119809.41</v>
      </c>
      <c r="H38" s="33" t="s">
        <v>57</v>
      </c>
      <c r="I38" s="543">
        <v>18</v>
      </c>
      <c r="J38" s="31">
        <v>2400</v>
      </c>
      <c r="K38" s="12">
        <f t="shared" si="1"/>
        <v>133.33333333333334</v>
      </c>
      <c r="L38" s="543">
        <v>18</v>
      </c>
      <c r="M38" s="13">
        <f t="shared" si="24"/>
        <v>2297.400000000001</v>
      </c>
      <c r="N38" s="12">
        <f t="shared" si="3"/>
        <v>127.63333333333338</v>
      </c>
      <c r="O38" s="14">
        <f t="shared" si="4"/>
        <v>0</v>
      </c>
      <c r="P38" s="15">
        <f t="shared" si="5"/>
        <v>-5.6999999999999602</v>
      </c>
      <c r="Q38" s="541">
        <f t="shared" si="6"/>
        <v>0.95725000000000027</v>
      </c>
      <c r="R38" s="615"/>
      <c r="S38" s="34">
        <v>0.64999999999999991</v>
      </c>
      <c r="T38" s="34">
        <v>0.71944444444444433</v>
      </c>
      <c r="U38" s="540">
        <f t="shared" si="26"/>
        <v>4.9999999999999822</v>
      </c>
      <c r="V38" s="544">
        <f t="shared" si="25"/>
        <v>99.999999999999972</v>
      </c>
      <c r="W38" s="16"/>
      <c r="X38" s="16"/>
      <c r="Y38" s="16"/>
      <c r="Z38" s="16"/>
      <c r="AA38" s="536"/>
      <c r="AB38" s="537"/>
      <c r="AC38" s="18"/>
      <c r="AD38" s="18"/>
      <c r="AE38" s="14">
        <f t="shared" si="8"/>
        <v>-102.599999999999</v>
      </c>
      <c r="AF38" s="541">
        <f t="shared" si="9"/>
        <v>0.95725000000000038</v>
      </c>
      <c r="AG38" s="615"/>
    </row>
    <row r="39" spans="1:33" ht="15.75" customHeight="1">
      <c r="A39" s="641" t="s">
        <v>2768</v>
      </c>
      <c r="B39" s="29" t="s">
        <v>2761</v>
      </c>
      <c r="C39" s="618"/>
      <c r="D39" s="618"/>
      <c r="E39" s="542"/>
      <c r="F39" s="546"/>
      <c r="G39" s="540"/>
      <c r="H39" s="546"/>
      <c r="I39" s="23">
        <v>17.5</v>
      </c>
      <c r="J39" s="31">
        <v>2400</v>
      </c>
      <c r="K39" s="12">
        <f t="shared" si="1"/>
        <v>137.14285714285714</v>
      </c>
      <c r="L39" s="23">
        <v>17.5</v>
      </c>
      <c r="M39" s="13">
        <f>AVERAGE(M31:M38)</f>
        <v>2298.5886150613655</v>
      </c>
      <c r="N39" s="12">
        <f t="shared" si="3"/>
        <v>131.34792086064945</v>
      </c>
      <c r="O39" s="14">
        <f t="shared" si="4"/>
        <v>0</v>
      </c>
      <c r="P39" s="15">
        <f t="shared" si="5"/>
        <v>-5.7949362822076864</v>
      </c>
      <c r="Q39" s="541">
        <f t="shared" si="6"/>
        <v>0.95774525627556895</v>
      </c>
      <c r="R39" s="615"/>
      <c r="S39" s="34"/>
      <c r="T39" s="34"/>
      <c r="U39" s="540"/>
      <c r="V39" s="544"/>
      <c r="W39" s="540"/>
      <c r="X39" s="540"/>
      <c r="Y39" s="24">
        <f>SUM(Y31:Y38)</f>
        <v>0</v>
      </c>
      <c r="Z39" s="24">
        <f>SUM(Z31:Z38)</f>
        <v>0</v>
      </c>
      <c r="AA39" s="614"/>
      <c r="AB39" s="614"/>
      <c r="AC39" s="24">
        <v>8</v>
      </c>
      <c r="AD39" s="24">
        <f>SUM(AD31:AD38)</f>
        <v>0</v>
      </c>
      <c r="AE39" s="14">
        <f t="shared" si="8"/>
        <v>-101.41138493863446</v>
      </c>
      <c r="AF39" s="541">
        <f t="shared" si="9"/>
        <v>0.95774525627556895</v>
      </c>
      <c r="AG39" s="615"/>
    </row>
    <row r="40" spans="1:33" ht="15.75" customHeight="1">
      <c r="A40" s="638" t="s">
        <v>2770</v>
      </c>
      <c r="B40" s="29" t="s">
        <v>32</v>
      </c>
      <c r="C40" s="616" t="s">
        <v>77</v>
      </c>
      <c r="D40" s="616"/>
      <c r="E40" s="29">
        <v>26.18</v>
      </c>
      <c r="F40" s="546">
        <v>3800</v>
      </c>
      <c r="G40" s="540">
        <f t="shared" ref="G40:G46" si="27">E40*F40</f>
        <v>99484</v>
      </c>
      <c r="H40" s="33">
        <v>2</v>
      </c>
      <c r="I40" s="543">
        <v>20</v>
      </c>
      <c r="J40" s="31">
        <v>2400</v>
      </c>
      <c r="K40" s="12">
        <f t="shared" si="1"/>
        <v>120</v>
      </c>
      <c r="L40" s="543">
        <v>20</v>
      </c>
      <c r="M40" s="13">
        <f t="shared" ref="M40:M46" si="28">F40/V40*60</f>
        <v>2303.030303030303</v>
      </c>
      <c r="N40" s="12">
        <f t="shared" si="3"/>
        <v>115.15151515151516</v>
      </c>
      <c r="O40" s="14">
        <f t="shared" si="4"/>
        <v>0</v>
      </c>
      <c r="P40" s="15">
        <f t="shared" si="5"/>
        <v>-4.8484848484848442</v>
      </c>
      <c r="Q40" s="541">
        <f t="shared" si="6"/>
        <v>0.95959595959595967</v>
      </c>
      <c r="R40" s="615">
        <f>Q47</f>
        <v>0.95452635938627806</v>
      </c>
      <c r="S40" s="34">
        <v>8.3333333333333329E-2</v>
      </c>
      <c r="T40" s="34">
        <v>0.15208333333333332</v>
      </c>
      <c r="U40" s="540"/>
      <c r="V40" s="544">
        <f t="shared" ref="V40:V46" si="29">(T40-S40)*24*60</f>
        <v>99</v>
      </c>
      <c r="W40" s="21">
        <f>T40</f>
        <v>0.15208333333333332</v>
      </c>
      <c r="X40" s="21">
        <f>S41</f>
        <v>0.17083333333333331</v>
      </c>
      <c r="Y40" s="21"/>
      <c r="Z40" s="21"/>
      <c r="AA40" s="617"/>
      <c r="AB40" s="617"/>
      <c r="AC40" s="18">
        <v>7</v>
      </c>
      <c r="AD40" s="18"/>
      <c r="AE40" s="14">
        <f t="shared" si="8"/>
        <v>-96.969696969696997</v>
      </c>
      <c r="AF40" s="541">
        <f t="shared" si="9"/>
        <v>0.95959595959595956</v>
      </c>
      <c r="AG40" s="615">
        <f>AF47</f>
        <v>0.95452635938627806</v>
      </c>
    </row>
    <row r="41" spans="1:33" ht="15.75" customHeight="1">
      <c r="A41" s="638" t="s">
        <v>2770</v>
      </c>
      <c r="B41" s="29" t="s">
        <v>32</v>
      </c>
      <c r="C41" s="616" t="s">
        <v>37</v>
      </c>
      <c r="D41" s="616"/>
      <c r="E41" s="29">
        <v>24.43</v>
      </c>
      <c r="F41" s="546">
        <v>4000</v>
      </c>
      <c r="G41" s="540">
        <f t="shared" si="27"/>
        <v>97720</v>
      </c>
      <c r="H41" s="33">
        <v>2</v>
      </c>
      <c r="I41" s="543">
        <v>14</v>
      </c>
      <c r="J41" s="31">
        <v>2400</v>
      </c>
      <c r="K41" s="12">
        <f t="shared" si="1"/>
        <v>171.42857142857142</v>
      </c>
      <c r="L41" s="543">
        <v>14</v>
      </c>
      <c r="M41" s="13">
        <f t="shared" si="28"/>
        <v>2285.7142857142862</v>
      </c>
      <c r="N41" s="12">
        <f t="shared" si="3"/>
        <v>163.265306122449</v>
      </c>
      <c r="O41" s="14">
        <f t="shared" si="4"/>
        <v>0</v>
      </c>
      <c r="P41" s="15">
        <f t="shared" si="5"/>
        <v>-8.1632653061224119</v>
      </c>
      <c r="Q41" s="541">
        <f t="shared" si="6"/>
        <v>0.95238095238095255</v>
      </c>
      <c r="R41" s="615"/>
      <c r="S41" s="34">
        <v>0.17083333333333331</v>
      </c>
      <c r="T41" s="34">
        <v>0.24374999999999997</v>
      </c>
      <c r="U41" s="540">
        <f t="shared" ref="U41:U46" si="30">(S41-T40)*24*60</f>
        <v>26.999999999999986</v>
      </c>
      <c r="V41" s="544">
        <f t="shared" si="29"/>
        <v>104.99999999999999</v>
      </c>
      <c r="W41" s="540"/>
      <c r="X41" s="540"/>
      <c r="Y41" s="540"/>
      <c r="Z41" s="540"/>
      <c r="AA41" s="617"/>
      <c r="AB41" s="617"/>
      <c r="AC41" s="18"/>
      <c r="AD41" s="18"/>
      <c r="AE41" s="14">
        <f t="shared" si="8"/>
        <v>-114.28571428571377</v>
      </c>
      <c r="AF41" s="541">
        <f t="shared" si="9"/>
        <v>0.95238095238095255</v>
      </c>
      <c r="AG41" s="615"/>
    </row>
    <row r="42" spans="1:33">
      <c r="A42" s="639" t="s">
        <v>2770</v>
      </c>
      <c r="B42" s="29" t="s">
        <v>32</v>
      </c>
      <c r="C42" s="616" t="s">
        <v>2090</v>
      </c>
      <c r="D42" s="616"/>
      <c r="E42" s="29">
        <v>25.98</v>
      </c>
      <c r="F42" s="546">
        <v>4318</v>
      </c>
      <c r="G42" s="540">
        <f t="shared" si="27"/>
        <v>112181.64</v>
      </c>
      <c r="H42" s="33" t="s">
        <v>57</v>
      </c>
      <c r="I42" s="543">
        <v>20</v>
      </c>
      <c r="J42" s="31">
        <v>2400</v>
      </c>
      <c r="K42" s="12">
        <f t="shared" si="1"/>
        <v>120</v>
      </c>
      <c r="L42" s="543">
        <v>20</v>
      </c>
      <c r="M42" s="13">
        <f t="shared" si="28"/>
        <v>2292.743362831859</v>
      </c>
      <c r="N42" s="12">
        <f t="shared" si="3"/>
        <v>114.63716814159295</v>
      </c>
      <c r="O42" s="14">
        <f t="shared" si="4"/>
        <v>0</v>
      </c>
      <c r="P42" s="15">
        <f t="shared" si="5"/>
        <v>-5.3628318584070485</v>
      </c>
      <c r="Q42" s="541">
        <f t="shared" si="6"/>
        <v>0.95530973451327461</v>
      </c>
      <c r="R42" s="615"/>
      <c r="S42" s="34">
        <v>0.24861111111111109</v>
      </c>
      <c r="T42" s="34">
        <v>0.32708333333333328</v>
      </c>
      <c r="U42" s="540">
        <f t="shared" si="30"/>
        <v>7.0000000000000151</v>
      </c>
      <c r="V42" s="544">
        <f t="shared" si="29"/>
        <v>112.99999999999996</v>
      </c>
      <c r="W42" s="540"/>
      <c r="X42" s="540"/>
      <c r="Y42" s="540"/>
      <c r="Z42" s="540"/>
      <c r="AA42" s="617"/>
      <c r="AB42" s="617"/>
      <c r="AC42" s="18"/>
      <c r="AD42" s="18"/>
      <c r="AE42" s="14">
        <f t="shared" si="8"/>
        <v>-107.25663716814097</v>
      </c>
      <c r="AF42" s="541">
        <f t="shared" si="9"/>
        <v>0.95530973451327461</v>
      </c>
      <c r="AG42" s="615"/>
    </row>
    <row r="43" spans="1:33">
      <c r="A43" s="639" t="s">
        <v>2771</v>
      </c>
      <c r="B43" s="29" t="s">
        <v>32</v>
      </c>
      <c r="C43" s="616" t="s">
        <v>39</v>
      </c>
      <c r="D43" s="616"/>
      <c r="E43" s="29">
        <v>34.1</v>
      </c>
      <c r="F43" s="546">
        <v>3700</v>
      </c>
      <c r="G43" s="540">
        <f t="shared" si="27"/>
        <v>126170</v>
      </c>
      <c r="H43" s="33">
        <v>2</v>
      </c>
      <c r="I43" s="543">
        <v>17</v>
      </c>
      <c r="J43" s="31">
        <v>1600</v>
      </c>
      <c r="K43" s="12">
        <f t="shared" si="1"/>
        <v>94.117647058823536</v>
      </c>
      <c r="L43" s="543">
        <v>17</v>
      </c>
      <c r="M43" s="13">
        <f t="shared" si="28"/>
        <v>1520.5479452054797</v>
      </c>
      <c r="N43" s="12">
        <f t="shared" si="3"/>
        <v>89.443996776792915</v>
      </c>
      <c r="O43" s="14">
        <f t="shared" si="4"/>
        <v>0</v>
      </c>
      <c r="P43" s="15">
        <f t="shared" si="5"/>
        <v>-4.6736502820306214</v>
      </c>
      <c r="Q43" s="541">
        <f t="shared" si="6"/>
        <v>0.95034246575342463</v>
      </c>
      <c r="R43" s="615"/>
      <c r="S43" s="34">
        <v>0.33263888888888882</v>
      </c>
      <c r="T43" s="34">
        <v>0.43402777777777768</v>
      </c>
      <c r="U43" s="540">
        <f t="shared" si="30"/>
        <v>7.9999999999999716</v>
      </c>
      <c r="V43" s="544">
        <f t="shared" si="29"/>
        <v>145.99999999999997</v>
      </c>
      <c r="W43" s="16"/>
      <c r="X43" s="16"/>
      <c r="Y43" s="16"/>
      <c r="Z43" s="16"/>
      <c r="AA43" s="617"/>
      <c r="AB43" s="617"/>
      <c r="AC43" s="18"/>
      <c r="AD43" s="18"/>
      <c r="AE43" s="14">
        <f t="shared" si="8"/>
        <v>-79.452054794520336</v>
      </c>
      <c r="AF43" s="541">
        <f t="shared" si="9"/>
        <v>0.95034246575342474</v>
      </c>
      <c r="AG43" s="615"/>
    </row>
    <row r="44" spans="1:33">
      <c r="A44" s="639" t="s">
        <v>2771</v>
      </c>
      <c r="B44" s="29" t="s">
        <v>32</v>
      </c>
      <c r="C44" s="616" t="s">
        <v>84</v>
      </c>
      <c r="D44" s="616"/>
      <c r="E44" s="29">
        <v>20.21</v>
      </c>
      <c r="F44" s="546">
        <v>3277</v>
      </c>
      <c r="G44" s="540">
        <f t="shared" si="27"/>
        <v>66228.17</v>
      </c>
      <c r="H44" s="33" t="s">
        <v>57</v>
      </c>
      <c r="I44" s="543">
        <v>18</v>
      </c>
      <c r="J44" s="31">
        <v>2400</v>
      </c>
      <c r="K44" s="12">
        <f t="shared" si="1"/>
        <v>133.33333333333334</v>
      </c>
      <c r="L44" s="543">
        <v>18</v>
      </c>
      <c r="M44" s="13">
        <f t="shared" si="28"/>
        <v>2286.2790697674413</v>
      </c>
      <c r="N44" s="12">
        <f t="shared" si="3"/>
        <v>127.01550387596896</v>
      </c>
      <c r="O44" s="14">
        <f t="shared" si="4"/>
        <v>0</v>
      </c>
      <c r="P44" s="15">
        <f t="shared" si="5"/>
        <v>-6.3178294573643825</v>
      </c>
      <c r="Q44" s="541">
        <f t="shared" si="6"/>
        <v>0.95261627906976709</v>
      </c>
      <c r="R44" s="615"/>
      <c r="S44" s="34">
        <v>0.43888888888888877</v>
      </c>
      <c r="T44" s="34">
        <v>0.49861111111111101</v>
      </c>
      <c r="U44" s="540">
        <f t="shared" si="30"/>
        <v>6.9999999999999751</v>
      </c>
      <c r="V44" s="544">
        <f t="shared" si="29"/>
        <v>86.000000000000014</v>
      </c>
      <c r="W44" s="16">
        <f>T44</f>
        <v>0.49861111111111101</v>
      </c>
      <c r="X44" s="16">
        <f>S45</f>
        <v>0.53888888888888875</v>
      </c>
      <c r="Y44" s="16"/>
      <c r="Z44" s="16"/>
      <c r="AA44" s="617"/>
      <c r="AB44" s="617"/>
      <c r="AC44" s="18"/>
      <c r="AD44" s="18"/>
      <c r="AE44" s="14">
        <f t="shared" si="8"/>
        <v>-113.72093023255866</v>
      </c>
      <c r="AF44" s="541">
        <f t="shared" si="9"/>
        <v>0.9526162790697672</v>
      </c>
      <c r="AG44" s="615"/>
    </row>
    <row r="45" spans="1:33">
      <c r="A45" s="639" t="s">
        <v>2770</v>
      </c>
      <c r="B45" s="29" t="s">
        <v>32</v>
      </c>
      <c r="C45" s="616" t="s">
        <v>39</v>
      </c>
      <c r="D45" s="616"/>
      <c r="E45" s="29">
        <v>34.1</v>
      </c>
      <c r="F45" s="546">
        <v>3075</v>
      </c>
      <c r="G45" s="540">
        <f t="shared" si="27"/>
        <v>104857.5</v>
      </c>
      <c r="H45" s="33" t="s">
        <v>57</v>
      </c>
      <c r="I45" s="543">
        <v>17</v>
      </c>
      <c r="J45" s="31">
        <v>1600</v>
      </c>
      <c r="K45" s="12">
        <f t="shared" si="1"/>
        <v>94.117647058823536</v>
      </c>
      <c r="L45" s="543">
        <v>17</v>
      </c>
      <c r="M45" s="13">
        <f t="shared" si="28"/>
        <v>1524.7933884297513</v>
      </c>
      <c r="N45" s="12">
        <f t="shared" si="3"/>
        <v>89.693728731161841</v>
      </c>
      <c r="O45" s="14">
        <f t="shared" si="4"/>
        <v>0</v>
      </c>
      <c r="P45" s="15">
        <f t="shared" si="5"/>
        <v>-4.4239183276616956</v>
      </c>
      <c r="Q45" s="541">
        <f t="shared" si="6"/>
        <v>0.95299586776859446</v>
      </c>
      <c r="R45" s="615"/>
      <c r="S45" s="34">
        <v>0.53888888888888875</v>
      </c>
      <c r="T45" s="34">
        <v>0.62291666666666656</v>
      </c>
      <c r="U45" s="540">
        <f t="shared" si="30"/>
        <v>57.999999999999957</v>
      </c>
      <c r="V45" s="544">
        <f t="shared" si="29"/>
        <v>121.00000000000006</v>
      </c>
      <c r="W45" s="16"/>
      <c r="X45" s="16"/>
      <c r="Y45" s="16"/>
      <c r="Z45" s="16"/>
      <c r="AA45" s="617"/>
      <c r="AB45" s="617"/>
      <c r="AC45" s="18"/>
      <c r="AD45" s="18"/>
      <c r="AE45" s="14">
        <f t="shared" si="8"/>
        <v>-75.206611570248697</v>
      </c>
      <c r="AF45" s="541">
        <f t="shared" si="9"/>
        <v>0.95299586776859457</v>
      </c>
      <c r="AG45" s="615"/>
    </row>
    <row r="46" spans="1:33">
      <c r="A46" s="639" t="s">
        <v>2771</v>
      </c>
      <c r="B46" s="29" t="s">
        <v>32</v>
      </c>
      <c r="C46" s="616" t="s">
        <v>77</v>
      </c>
      <c r="D46" s="616"/>
      <c r="E46" s="29">
        <v>26.18</v>
      </c>
      <c r="F46" s="546">
        <v>2487</v>
      </c>
      <c r="G46" s="540">
        <f t="shared" si="27"/>
        <v>65109.659999999996</v>
      </c>
      <c r="H46" s="33" t="s">
        <v>57</v>
      </c>
      <c r="I46" s="543">
        <v>20</v>
      </c>
      <c r="J46" s="31">
        <v>2400</v>
      </c>
      <c r="K46" s="12">
        <f t="shared" si="1"/>
        <v>120</v>
      </c>
      <c r="L46" s="543">
        <v>20</v>
      </c>
      <c r="M46" s="13">
        <f t="shared" si="28"/>
        <v>2295.6923076923104</v>
      </c>
      <c r="N46" s="12">
        <f t="shared" si="3"/>
        <v>114.78461538461552</v>
      </c>
      <c r="O46" s="14">
        <f t="shared" si="4"/>
        <v>0</v>
      </c>
      <c r="P46" s="15">
        <f t="shared" si="5"/>
        <v>-5.2153846153844796</v>
      </c>
      <c r="Q46" s="541">
        <f t="shared" si="6"/>
        <v>0.95653846153846267</v>
      </c>
      <c r="R46" s="615"/>
      <c r="S46" s="34">
        <v>0.62777777777777766</v>
      </c>
      <c r="T46" s="34">
        <v>0.6729166666666665</v>
      </c>
      <c r="U46" s="540">
        <f t="shared" si="30"/>
        <v>6.9999999999999751</v>
      </c>
      <c r="V46" s="544">
        <f t="shared" si="29"/>
        <v>64.999999999999929</v>
      </c>
      <c r="W46" s="16"/>
      <c r="X46" s="16"/>
      <c r="Y46" s="19"/>
      <c r="Z46" s="19"/>
      <c r="AA46" s="624"/>
      <c r="AB46" s="625"/>
      <c r="AC46" s="18"/>
      <c r="AD46" s="18"/>
      <c r="AE46" s="14">
        <f t="shared" si="8"/>
        <v>-104.30769230768965</v>
      </c>
      <c r="AF46" s="541">
        <f t="shared" si="9"/>
        <v>0.95653846153846267</v>
      </c>
      <c r="AG46" s="615"/>
    </row>
    <row r="47" spans="1:33">
      <c r="A47" s="639" t="s">
        <v>2770</v>
      </c>
      <c r="B47" s="30" t="s">
        <v>2761</v>
      </c>
      <c r="C47" s="618"/>
      <c r="D47" s="618"/>
      <c r="E47" s="542"/>
      <c r="F47" s="30"/>
      <c r="G47" s="12"/>
      <c r="H47" s="546"/>
      <c r="I47" s="23">
        <v>18</v>
      </c>
      <c r="J47" s="31">
        <v>2171.4285714285716</v>
      </c>
      <c r="K47" s="12">
        <f t="shared" si="1"/>
        <v>120.63492063492065</v>
      </c>
      <c r="L47" s="23">
        <v>18</v>
      </c>
      <c r="M47" s="13">
        <f>AVERAGE(M40:M46)</f>
        <v>2072.685808953061</v>
      </c>
      <c r="N47" s="12">
        <f t="shared" si="3"/>
        <v>115.14921160850339</v>
      </c>
      <c r="O47" s="14">
        <f t="shared" si="4"/>
        <v>0</v>
      </c>
      <c r="P47" s="15">
        <f t="shared" si="5"/>
        <v>-5.4857090264172541</v>
      </c>
      <c r="Q47" s="541">
        <f t="shared" si="6"/>
        <v>0.95452635938627806</v>
      </c>
      <c r="R47" s="615"/>
      <c r="S47" s="34"/>
      <c r="T47" s="34"/>
      <c r="U47" s="12"/>
      <c r="V47" s="544"/>
      <c r="W47" s="12"/>
      <c r="X47" s="12"/>
      <c r="Y47" s="24">
        <f>SUM(Y40:Y46)</f>
        <v>0</v>
      </c>
      <c r="Z47" s="24">
        <f>SUM(Z40:Z46)</f>
        <v>0</v>
      </c>
      <c r="AA47" s="614"/>
      <c r="AB47" s="614"/>
      <c r="AC47" s="24">
        <v>7</v>
      </c>
      <c r="AD47" s="24">
        <f>SUM(AD40:AD46)</f>
        <v>0</v>
      </c>
      <c r="AE47" s="14">
        <f t="shared" si="8"/>
        <v>-98.742762475510517</v>
      </c>
      <c r="AF47" s="541">
        <f t="shared" si="9"/>
        <v>0.95452635938627806</v>
      </c>
      <c r="AG47" s="615"/>
    </row>
    <row r="48" spans="1:33" ht="15.75" customHeight="1">
      <c r="A48" s="632" t="s">
        <v>2772</v>
      </c>
      <c r="B48" s="29" t="s">
        <v>40</v>
      </c>
      <c r="C48" s="622" t="s">
        <v>49</v>
      </c>
      <c r="D48" s="623"/>
      <c r="E48" s="29">
        <v>34.36</v>
      </c>
      <c r="F48" s="546">
        <v>2398</v>
      </c>
      <c r="G48" s="540">
        <f t="shared" ref="G48:G50" si="31">E48*F48</f>
        <v>82395.28</v>
      </c>
      <c r="H48" s="33" t="s">
        <v>57</v>
      </c>
      <c r="I48" s="543">
        <v>10</v>
      </c>
      <c r="J48" s="31">
        <v>3000</v>
      </c>
      <c r="K48" s="12">
        <f t="shared" si="1"/>
        <v>300</v>
      </c>
      <c r="L48" s="543">
        <v>10</v>
      </c>
      <c r="M48" s="13">
        <f t="shared" ref="M48:M50" si="32">F48/V48*60</f>
        <v>2877.5999999999985</v>
      </c>
      <c r="N48" s="13">
        <f t="shared" si="3"/>
        <v>287.75999999999988</v>
      </c>
      <c r="O48" s="14">
        <f t="shared" si="4"/>
        <v>0</v>
      </c>
      <c r="P48" s="15">
        <f t="shared" si="5"/>
        <v>-12.240000000000123</v>
      </c>
      <c r="Q48" s="541">
        <f t="shared" si="6"/>
        <v>0.95919999999999961</v>
      </c>
      <c r="R48" s="635">
        <f>Q51</f>
        <v>0.95686349206349219</v>
      </c>
      <c r="S48" s="34">
        <v>0.20833333333333334</v>
      </c>
      <c r="T48" s="34">
        <v>0.24305555555555558</v>
      </c>
      <c r="U48" s="21"/>
      <c r="V48" s="544">
        <f t="shared" ref="V48:V50" si="33">(T48-S48)*24*60</f>
        <v>50.000000000000021</v>
      </c>
      <c r="W48" s="16"/>
      <c r="X48" s="16"/>
      <c r="Y48" s="19"/>
      <c r="Z48" s="19"/>
      <c r="AA48" s="624"/>
      <c r="AB48" s="625"/>
      <c r="AC48" s="18">
        <v>3</v>
      </c>
      <c r="AD48" s="18"/>
      <c r="AE48" s="14">
        <f t="shared" si="8"/>
        <v>-122.40000000000146</v>
      </c>
      <c r="AF48" s="541">
        <f t="shared" si="9"/>
        <v>0.9591999999999995</v>
      </c>
      <c r="AG48" s="635">
        <f>AF51</f>
        <v>0.95686349206349208</v>
      </c>
    </row>
    <row r="49" spans="1:33" ht="15.75" customHeight="1">
      <c r="A49" s="633" t="s">
        <v>2773</v>
      </c>
      <c r="B49" s="29" t="s">
        <v>40</v>
      </c>
      <c r="C49" s="622" t="s">
        <v>43</v>
      </c>
      <c r="D49" s="623"/>
      <c r="E49" s="29">
        <v>21.13</v>
      </c>
      <c r="F49" s="546">
        <v>6024</v>
      </c>
      <c r="G49" s="540">
        <f t="shared" si="31"/>
        <v>127287.12</v>
      </c>
      <c r="H49" s="33" t="s">
        <v>57</v>
      </c>
      <c r="I49" s="543">
        <v>10</v>
      </c>
      <c r="J49" s="31">
        <v>3000</v>
      </c>
      <c r="K49" s="12">
        <f t="shared" si="1"/>
        <v>300</v>
      </c>
      <c r="L49" s="543">
        <v>10</v>
      </c>
      <c r="M49" s="13">
        <f t="shared" si="32"/>
        <v>2868.5714285714289</v>
      </c>
      <c r="N49" s="13">
        <f t="shared" si="3"/>
        <v>286.85714285714289</v>
      </c>
      <c r="O49" s="14">
        <f t="shared" si="4"/>
        <v>0</v>
      </c>
      <c r="P49" s="15">
        <f t="shared" si="5"/>
        <v>-13.14285714285711</v>
      </c>
      <c r="Q49" s="541">
        <f t="shared" si="6"/>
        <v>0.95619047619047626</v>
      </c>
      <c r="R49" s="636"/>
      <c r="S49" s="34">
        <v>0.2479166666666667</v>
      </c>
      <c r="T49" s="34">
        <v>0.3354166666666667</v>
      </c>
      <c r="U49" s="540">
        <f t="shared" ref="U49:U50" si="34">(S49-T48)*24*60</f>
        <v>7.0000000000000151</v>
      </c>
      <c r="V49" s="544">
        <f t="shared" si="33"/>
        <v>125.99999999999997</v>
      </c>
      <c r="W49" s="16"/>
      <c r="X49" s="16"/>
      <c r="Y49" s="19"/>
      <c r="Z49" s="19"/>
      <c r="AA49" s="624"/>
      <c r="AB49" s="625"/>
      <c r="AC49" s="18"/>
      <c r="AD49" s="18"/>
      <c r="AE49" s="14">
        <f t="shared" si="8"/>
        <v>-131.4285714285711</v>
      </c>
      <c r="AF49" s="541">
        <f t="shared" si="9"/>
        <v>0.95619047619047626</v>
      </c>
      <c r="AG49" s="636"/>
    </row>
    <row r="50" spans="1:33" ht="15.75" customHeight="1">
      <c r="A50" s="633" t="s">
        <v>2773</v>
      </c>
      <c r="B50" s="29" t="s">
        <v>40</v>
      </c>
      <c r="C50" s="622" t="s">
        <v>44</v>
      </c>
      <c r="D50" s="623"/>
      <c r="E50" s="29">
        <v>27.17</v>
      </c>
      <c r="F50" s="546">
        <v>7164</v>
      </c>
      <c r="G50" s="540">
        <f t="shared" si="31"/>
        <v>194645.88</v>
      </c>
      <c r="H50" s="33" t="s">
        <v>57</v>
      </c>
      <c r="I50" s="543">
        <v>10</v>
      </c>
      <c r="J50" s="31">
        <v>3000</v>
      </c>
      <c r="K50" s="12">
        <f t="shared" si="1"/>
        <v>300</v>
      </c>
      <c r="L50" s="543">
        <v>10</v>
      </c>
      <c r="M50" s="13">
        <f t="shared" si="32"/>
        <v>2865.5999999999995</v>
      </c>
      <c r="N50" s="13">
        <f t="shared" si="3"/>
        <v>286.55999999999995</v>
      </c>
      <c r="O50" s="14">
        <f t="shared" si="4"/>
        <v>0</v>
      </c>
      <c r="P50" s="15">
        <f t="shared" si="5"/>
        <v>-13.440000000000055</v>
      </c>
      <c r="Q50" s="541">
        <f t="shared" si="6"/>
        <v>0.95519999999999983</v>
      </c>
      <c r="R50" s="636"/>
      <c r="S50" s="34">
        <v>0.34097222222222223</v>
      </c>
      <c r="T50" s="34">
        <v>0.44513888888888892</v>
      </c>
      <c r="U50" s="540">
        <f t="shared" si="34"/>
        <v>7.9999999999999716</v>
      </c>
      <c r="V50" s="544">
        <f t="shared" si="33"/>
        <v>150.00000000000003</v>
      </c>
      <c r="W50" s="16"/>
      <c r="X50" s="16"/>
      <c r="Y50" s="19"/>
      <c r="Z50" s="19"/>
      <c r="AA50" s="624"/>
      <c r="AB50" s="625"/>
      <c r="AC50" s="18"/>
      <c r="AD50" s="18"/>
      <c r="AE50" s="14">
        <f t="shared" si="8"/>
        <v>-134.40000000000055</v>
      </c>
      <c r="AF50" s="541">
        <f t="shared" si="9"/>
        <v>0.95519999999999983</v>
      </c>
      <c r="AG50" s="636"/>
    </row>
    <row r="51" spans="1:33" ht="15.75" customHeight="1">
      <c r="A51" s="634" t="s">
        <v>2772</v>
      </c>
      <c r="B51" s="29" t="s">
        <v>2761</v>
      </c>
      <c r="C51" s="612"/>
      <c r="D51" s="613"/>
      <c r="E51" s="538"/>
      <c r="F51" s="546"/>
      <c r="G51" s="540"/>
      <c r="H51" s="546"/>
      <c r="I51" s="23">
        <v>10</v>
      </c>
      <c r="J51" s="31">
        <v>3000</v>
      </c>
      <c r="K51" s="12">
        <f t="shared" si="1"/>
        <v>300</v>
      </c>
      <c r="L51" s="23">
        <v>10</v>
      </c>
      <c r="M51" s="13">
        <f>AVERAGE(M48:M50)</f>
        <v>2870.5904761904762</v>
      </c>
      <c r="N51" s="12">
        <f t="shared" si="3"/>
        <v>287.05904761904765</v>
      </c>
      <c r="O51" s="14">
        <f t="shared" si="4"/>
        <v>0</v>
      </c>
      <c r="P51" s="15">
        <f t="shared" si="5"/>
        <v>-12.940952380952353</v>
      </c>
      <c r="Q51" s="541">
        <f t="shared" si="6"/>
        <v>0.95686349206349219</v>
      </c>
      <c r="R51" s="637"/>
      <c r="S51" s="34"/>
      <c r="T51" s="34"/>
      <c r="U51" s="540"/>
      <c r="V51" s="544"/>
      <c r="W51" s="16"/>
      <c r="X51" s="16"/>
      <c r="Y51" s="24">
        <f>SUM(Y48:Y50)</f>
        <v>0</v>
      </c>
      <c r="Z51" s="24">
        <f>SUM(Z48:Z50)</f>
        <v>0</v>
      </c>
      <c r="AA51" s="628"/>
      <c r="AB51" s="629"/>
      <c r="AC51" s="24">
        <v>3</v>
      </c>
      <c r="AD51" s="24">
        <f>SUM(AD48:AD50)</f>
        <v>0</v>
      </c>
      <c r="AE51" s="14">
        <f t="shared" si="8"/>
        <v>-129.40952380952376</v>
      </c>
      <c r="AF51" s="541">
        <f t="shared" si="9"/>
        <v>0.95686349206349208</v>
      </c>
      <c r="AG51" s="637"/>
    </row>
    <row r="52" spans="1:33" ht="15.75" customHeight="1">
      <c r="A52" s="630" t="s">
        <v>2774</v>
      </c>
      <c r="B52" s="29" t="s">
        <v>15</v>
      </c>
      <c r="C52" s="616" t="s">
        <v>27</v>
      </c>
      <c r="D52" s="616"/>
      <c r="E52" s="29">
        <v>59.04</v>
      </c>
      <c r="F52" s="32">
        <v>2460</v>
      </c>
      <c r="G52" s="540">
        <f t="shared" ref="G52:G58" si="35">E52*F52</f>
        <v>145238.39999999999</v>
      </c>
      <c r="H52" s="33" t="s">
        <v>57</v>
      </c>
      <c r="I52" s="543">
        <v>19</v>
      </c>
      <c r="J52" s="31">
        <v>2000</v>
      </c>
      <c r="K52" s="12">
        <f t="shared" si="1"/>
        <v>105.26315789473684</v>
      </c>
      <c r="L52" s="543">
        <v>19</v>
      </c>
      <c r="M52" s="13">
        <f t="shared" ref="M52" si="36">F52/V52*60</f>
        <v>1916.8831168831168</v>
      </c>
      <c r="N52" s="13">
        <f t="shared" si="3"/>
        <v>100.88858509911141</v>
      </c>
      <c r="O52" s="14">
        <f t="shared" si="4"/>
        <v>0</v>
      </c>
      <c r="P52" s="15">
        <f t="shared" si="5"/>
        <v>-4.3745727956254257</v>
      </c>
      <c r="Q52" s="541">
        <f t="shared" si="6"/>
        <v>0.95844155844155843</v>
      </c>
      <c r="R52" s="615">
        <f>Q59</f>
        <v>0.95712071239583441</v>
      </c>
      <c r="S52" s="34">
        <v>0.16666666666666666</v>
      </c>
      <c r="T52" s="34">
        <v>0.22013888888888888</v>
      </c>
      <c r="U52" s="21"/>
      <c r="V52" s="544">
        <f t="shared" ref="V52:V58" si="37">(T52-S52)*24*60</f>
        <v>77</v>
      </c>
      <c r="W52" s="16">
        <f>T52</f>
        <v>0.22013888888888888</v>
      </c>
      <c r="X52" s="16">
        <f>S53</f>
        <v>0.24097222222222223</v>
      </c>
      <c r="Y52" s="21"/>
      <c r="Z52" s="21"/>
      <c r="AA52" s="617"/>
      <c r="AB52" s="617"/>
      <c r="AC52" s="18">
        <v>7</v>
      </c>
      <c r="AD52" s="18"/>
      <c r="AE52" s="14">
        <f t="shared" si="8"/>
        <v>-83.116883116883173</v>
      </c>
      <c r="AF52" s="541">
        <f t="shared" si="9"/>
        <v>0.95844155844155843</v>
      </c>
      <c r="AG52" s="615">
        <f>AF59</f>
        <v>0.95712071239583441</v>
      </c>
    </row>
    <row r="53" spans="1:33" ht="15.75" customHeight="1">
      <c r="A53" s="630" t="s">
        <v>2774</v>
      </c>
      <c r="B53" s="29" t="s">
        <v>15</v>
      </c>
      <c r="C53" s="616" t="s">
        <v>46</v>
      </c>
      <c r="D53" s="616"/>
      <c r="E53" s="29">
        <v>56.43</v>
      </c>
      <c r="F53" s="32">
        <v>1574</v>
      </c>
      <c r="G53" s="540">
        <f t="shared" si="35"/>
        <v>88820.819999999992</v>
      </c>
      <c r="H53" s="33" t="s">
        <v>57</v>
      </c>
      <c r="I53" s="543">
        <v>22</v>
      </c>
      <c r="J53" s="31">
        <v>2000</v>
      </c>
      <c r="K53" s="12">
        <f t="shared" si="1"/>
        <v>90.909090909090907</v>
      </c>
      <c r="L53" s="543">
        <v>22</v>
      </c>
      <c r="M53" s="13">
        <f>F53/V53*60</f>
        <v>1927.346938775509</v>
      </c>
      <c r="N53" s="13">
        <f t="shared" si="3"/>
        <v>87.606679035250409</v>
      </c>
      <c r="O53" s="14">
        <f t="shared" si="4"/>
        <v>0</v>
      </c>
      <c r="P53" s="15">
        <f t="shared" si="5"/>
        <v>-3.3024118738404979</v>
      </c>
      <c r="Q53" s="541">
        <f t="shared" si="6"/>
        <v>0.96367346938775456</v>
      </c>
      <c r="R53" s="615"/>
      <c r="S53" s="34">
        <v>0.24097222222222223</v>
      </c>
      <c r="T53" s="34">
        <v>0.27500000000000002</v>
      </c>
      <c r="U53" s="540">
        <f t="shared" ref="U53:U58" si="38">IF(S53=TIME(17,0,0),"",(S53-T52)*24*60)</f>
        <v>30.000000000000014</v>
      </c>
      <c r="V53" s="544">
        <f t="shared" si="37"/>
        <v>49.000000000000028</v>
      </c>
      <c r="W53" s="16"/>
      <c r="X53" s="16"/>
      <c r="Y53" s="16"/>
      <c r="Z53" s="16"/>
      <c r="AA53" s="617"/>
      <c r="AB53" s="617"/>
      <c r="AC53" s="18"/>
      <c r="AD53" s="18"/>
      <c r="AE53" s="14">
        <f t="shared" si="8"/>
        <v>-72.653061224491012</v>
      </c>
      <c r="AF53" s="541">
        <f t="shared" si="9"/>
        <v>0.96367346938775444</v>
      </c>
      <c r="AG53" s="615"/>
    </row>
    <row r="54" spans="1:33" ht="15.75" customHeight="1">
      <c r="A54" s="630" t="s">
        <v>2775</v>
      </c>
      <c r="B54" s="29" t="s">
        <v>19</v>
      </c>
      <c r="C54" s="622" t="s">
        <v>81</v>
      </c>
      <c r="D54" s="623"/>
      <c r="E54" s="29">
        <v>46</v>
      </c>
      <c r="F54" s="32">
        <v>2669</v>
      </c>
      <c r="G54" s="540">
        <f t="shared" si="35"/>
        <v>122774</v>
      </c>
      <c r="H54" s="33" t="s">
        <v>57</v>
      </c>
      <c r="I54" s="543">
        <v>16</v>
      </c>
      <c r="J54" s="31">
        <v>2000</v>
      </c>
      <c r="K54" s="12">
        <f t="shared" si="1"/>
        <v>125</v>
      </c>
      <c r="L54" s="543">
        <v>16</v>
      </c>
      <c r="M54" s="13">
        <f t="shared" ref="M54:M58" si="39">F54/V54*60</f>
        <v>1906.4285714285706</v>
      </c>
      <c r="N54" s="13">
        <f t="shared" si="3"/>
        <v>119.15178571428567</v>
      </c>
      <c r="O54" s="14">
        <f t="shared" si="4"/>
        <v>0</v>
      </c>
      <c r="P54" s="15">
        <f t="shared" si="5"/>
        <v>-5.8482142857143344</v>
      </c>
      <c r="Q54" s="541">
        <f t="shared" si="6"/>
        <v>0.95321428571428535</v>
      </c>
      <c r="R54" s="615"/>
      <c r="S54" s="34">
        <v>0.27916666666666667</v>
      </c>
      <c r="T54" s="34">
        <v>0.33750000000000002</v>
      </c>
      <c r="U54" s="540">
        <f t="shared" si="38"/>
        <v>5.9999999999999787</v>
      </c>
      <c r="V54" s="544">
        <f t="shared" si="37"/>
        <v>84.000000000000028</v>
      </c>
      <c r="W54" s="16"/>
      <c r="X54" s="16"/>
      <c r="Y54" s="19"/>
      <c r="Z54" s="19"/>
      <c r="AA54" s="617"/>
      <c r="AB54" s="617"/>
      <c r="AC54" s="18"/>
      <c r="AD54" s="18"/>
      <c r="AE54" s="14">
        <f t="shared" si="8"/>
        <v>-93.571428571429351</v>
      </c>
      <c r="AF54" s="541">
        <f t="shared" si="9"/>
        <v>0.95321428571428535</v>
      </c>
      <c r="AG54" s="615"/>
    </row>
    <row r="55" spans="1:33" ht="15.75" customHeight="1">
      <c r="A55" s="630" t="s">
        <v>2775</v>
      </c>
      <c r="B55" s="29" t="s">
        <v>19</v>
      </c>
      <c r="C55" s="534" t="s">
        <v>945</v>
      </c>
      <c r="D55" s="535"/>
      <c r="E55" s="29">
        <v>46</v>
      </c>
      <c r="F55" s="32">
        <v>3218</v>
      </c>
      <c r="G55" s="540">
        <f t="shared" si="35"/>
        <v>148028</v>
      </c>
      <c r="H55" s="33" t="s">
        <v>57</v>
      </c>
      <c r="I55" s="543">
        <v>17</v>
      </c>
      <c r="J55" s="31">
        <v>2000</v>
      </c>
      <c r="K55" s="12">
        <f t="shared" si="1"/>
        <v>117.64705882352941</v>
      </c>
      <c r="L55" s="543">
        <v>17</v>
      </c>
      <c r="M55" s="13">
        <f t="shared" si="39"/>
        <v>1911.6831683168325</v>
      </c>
      <c r="N55" s="13">
        <f t="shared" si="3"/>
        <v>112.45195107746073</v>
      </c>
      <c r="O55" s="14">
        <f t="shared" si="4"/>
        <v>0</v>
      </c>
      <c r="P55" s="15">
        <f t="shared" si="5"/>
        <v>-5.1951077460686719</v>
      </c>
      <c r="Q55" s="541">
        <f t="shared" si="6"/>
        <v>0.95584158415841625</v>
      </c>
      <c r="R55" s="615"/>
      <c r="S55" s="34">
        <v>0.34166666666666667</v>
      </c>
      <c r="T55" s="34">
        <v>0.41180555555555554</v>
      </c>
      <c r="U55" s="540">
        <f t="shared" si="38"/>
        <v>5.9999999999999787</v>
      </c>
      <c r="V55" s="544">
        <f t="shared" si="37"/>
        <v>100.99999999999996</v>
      </c>
      <c r="W55" s="16"/>
      <c r="X55" s="16"/>
      <c r="Y55" s="19"/>
      <c r="Z55" s="19"/>
      <c r="AA55" s="617"/>
      <c r="AB55" s="617"/>
      <c r="AC55" s="18"/>
      <c r="AD55" s="18"/>
      <c r="AE55" s="14">
        <f t="shared" si="8"/>
        <v>-88.316831683167493</v>
      </c>
      <c r="AF55" s="541">
        <f t="shared" si="9"/>
        <v>0.95584158415841625</v>
      </c>
      <c r="AG55" s="615"/>
    </row>
    <row r="56" spans="1:33" ht="15.75" customHeight="1">
      <c r="A56" s="630" t="s">
        <v>2774</v>
      </c>
      <c r="B56" s="29" t="s">
        <v>15</v>
      </c>
      <c r="C56" s="534" t="s">
        <v>48</v>
      </c>
      <c r="D56" s="535"/>
      <c r="E56" s="29">
        <v>55.56</v>
      </c>
      <c r="F56" s="32">
        <v>2415</v>
      </c>
      <c r="G56" s="540">
        <f t="shared" si="35"/>
        <v>134177.4</v>
      </c>
      <c r="H56" s="33" t="s">
        <v>57</v>
      </c>
      <c r="I56" s="543">
        <v>17</v>
      </c>
      <c r="J56" s="31">
        <v>2000</v>
      </c>
      <c r="K56" s="12">
        <f t="shared" si="1"/>
        <v>117.64705882352941</v>
      </c>
      <c r="L56" s="543">
        <v>17</v>
      </c>
      <c r="M56" s="13">
        <f t="shared" si="39"/>
        <v>1906.5789473684197</v>
      </c>
      <c r="N56" s="13">
        <f t="shared" si="3"/>
        <v>112.15170278637763</v>
      </c>
      <c r="O56" s="14">
        <f t="shared" si="4"/>
        <v>0</v>
      </c>
      <c r="P56" s="15">
        <f t="shared" si="5"/>
        <v>-5.4953560371517796</v>
      </c>
      <c r="Q56" s="541">
        <f t="shared" si="6"/>
        <v>0.95328947368420991</v>
      </c>
      <c r="R56" s="615"/>
      <c r="S56" s="34">
        <v>0.70833333333333337</v>
      </c>
      <c r="T56" s="34">
        <v>0.76111111111111118</v>
      </c>
      <c r="U56" s="540" t="str">
        <f t="shared" si="38"/>
        <v/>
      </c>
      <c r="V56" s="544">
        <f t="shared" si="37"/>
        <v>76.000000000000057</v>
      </c>
      <c r="W56" s="16"/>
      <c r="X56" s="16"/>
      <c r="Y56" s="19"/>
      <c r="Z56" s="19"/>
      <c r="AA56" s="617"/>
      <c r="AB56" s="617"/>
      <c r="AC56" s="18"/>
      <c r="AD56" s="18"/>
      <c r="AE56" s="14">
        <f t="shared" si="8"/>
        <v>-93.421052631580324</v>
      </c>
      <c r="AF56" s="541">
        <f t="shared" si="9"/>
        <v>0.9532894736842098</v>
      </c>
      <c r="AG56" s="615"/>
    </row>
    <row r="57" spans="1:33" ht="15.75" customHeight="1">
      <c r="A57" s="630" t="s">
        <v>2775</v>
      </c>
      <c r="B57" s="29" t="s">
        <v>15</v>
      </c>
      <c r="C57" s="622" t="s">
        <v>841</v>
      </c>
      <c r="D57" s="623"/>
      <c r="E57" s="29">
        <v>54.09</v>
      </c>
      <c r="F57" s="32">
        <v>1663</v>
      </c>
      <c r="G57" s="540">
        <f t="shared" si="35"/>
        <v>89951.670000000013</v>
      </c>
      <c r="H57" s="33" t="s">
        <v>57</v>
      </c>
      <c r="I57" s="543">
        <v>13</v>
      </c>
      <c r="J57" s="31">
        <v>2000</v>
      </c>
      <c r="K57" s="12">
        <f t="shared" si="1"/>
        <v>153.84615384615384</v>
      </c>
      <c r="L57" s="543">
        <v>13</v>
      </c>
      <c r="M57" s="13">
        <f t="shared" si="39"/>
        <v>1918.8461538461549</v>
      </c>
      <c r="N57" s="13">
        <f t="shared" si="3"/>
        <v>147.60355029585807</v>
      </c>
      <c r="O57" s="14">
        <f t="shared" si="4"/>
        <v>0</v>
      </c>
      <c r="P57" s="15">
        <f t="shared" si="5"/>
        <v>-6.2426035502957689</v>
      </c>
      <c r="Q57" s="541">
        <f t="shared" si="6"/>
        <v>0.95942307692307749</v>
      </c>
      <c r="R57" s="615"/>
      <c r="S57" s="34">
        <v>0.76527777777777783</v>
      </c>
      <c r="T57" s="34">
        <v>0.80138888888888893</v>
      </c>
      <c r="U57" s="540">
        <f t="shared" si="38"/>
        <v>5.9999999999999787</v>
      </c>
      <c r="V57" s="544">
        <f t="shared" si="37"/>
        <v>51.999999999999972</v>
      </c>
      <c r="W57" s="16"/>
      <c r="X57" s="16"/>
      <c r="Y57" s="19"/>
      <c r="Z57" s="19"/>
      <c r="AA57" s="624"/>
      <c r="AB57" s="625"/>
      <c r="AC57" s="18"/>
      <c r="AD57" s="18"/>
      <c r="AE57" s="14">
        <f t="shared" si="8"/>
        <v>-81.153846153845052</v>
      </c>
      <c r="AF57" s="541">
        <f t="shared" si="9"/>
        <v>0.95942307692307749</v>
      </c>
      <c r="AG57" s="615"/>
    </row>
    <row r="58" spans="1:33" ht="15.75" customHeight="1">
      <c r="A58" s="630" t="s">
        <v>2775</v>
      </c>
      <c r="B58" s="29" t="s">
        <v>15</v>
      </c>
      <c r="C58" s="622" t="s">
        <v>85</v>
      </c>
      <c r="D58" s="623"/>
      <c r="E58" s="29">
        <v>56.43</v>
      </c>
      <c r="F58" s="32">
        <v>1657</v>
      </c>
      <c r="G58" s="540">
        <f t="shared" si="35"/>
        <v>93504.51</v>
      </c>
      <c r="H58" s="33" t="s">
        <v>57</v>
      </c>
      <c r="I58" s="543">
        <v>13</v>
      </c>
      <c r="J58" s="31">
        <v>2000</v>
      </c>
      <c r="K58" s="12">
        <f t="shared" si="1"/>
        <v>153.84615384615384</v>
      </c>
      <c r="L58" s="543">
        <v>13</v>
      </c>
      <c r="M58" s="13">
        <f t="shared" si="39"/>
        <v>1911.923076923078</v>
      </c>
      <c r="N58" s="13">
        <f t="shared" si="3"/>
        <v>147.07100591715985</v>
      </c>
      <c r="O58" s="14">
        <f t="shared" si="4"/>
        <v>0</v>
      </c>
      <c r="P58" s="15">
        <f t="shared" si="5"/>
        <v>-6.775147928993988</v>
      </c>
      <c r="Q58" s="541">
        <f t="shared" si="6"/>
        <v>0.95596153846153908</v>
      </c>
      <c r="R58" s="615"/>
      <c r="S58" s="34">
        <v>0.80625000000000002</v>
      </c>
      <c r="T58" s="34">
        <v>0.84236111111111112</v>
      </c>
      <c r="U58" s="540">
        <f t="shared" si="38"/>
        <v>6.9999999999999751</v>
      </c>
      <c r="V58" s="544">
        <f t="shared" si="37"/>
        <v>51.999999999999972</v>
      </c>
      <c r="W58" s="16"/>
      <c r="X58" s="16"/>
      <c r="Y58" s="19"/>
      <c r="Z58" s="19"/>
      <c r="AA58" s="624"/>
      <c r="AB58" s="625"/>
      <c r="AC58" s="18"/>
      <c r="AD58" s="18"/>
      <c r="AE58" s="14">
        <f t="shared" si="8"/>
        <v>-88.076923076921958</v>
      </c>
      <c r="AF58" s="541">
        <f t="shared" si="9"/>
        <v>0.95596153846153897</v>
      </c>
      <c r="AG58" s="615"/>
    </row>
    <row r="59" spans="1:33">
      <c r="A59" s="631" t="s">
        <v>2774</v>
      </c>
      <c r="B59" s="29" t="s">
        <v>2764</v>
      </c>
      <c r="C59" s="618"/>
      <c r="D59" s="618"/>
      <c r="E59" s="542"/>
      <c r="F59" s="30"/>
      <c r="G59" s="12"/>
      <c r="H59" s="546"/>
      <c r="I59" s="23">
        <v>16.714285714285715</v>
      </c>
      <c r="J59" s="31">
        <v>2000</v>
      </c>
      <c r="K59" s="12">
        <f t="shared" si="1"/>
        <v>119.65811965811965</v>
      </c>
      <c r="L59" s="23">
        <v>16.714285714285715</v>
      </c>
      <c r="M59" s="13">
        <f>AVERAGE(M52:M58)</f>
        <v>1914.2414247916688</v>
      </c>
      <c r="N59" s="12">
        <f t="shared" si="3"/>
        <v>114.52726473112547</v>
      </c>
      <c r="O59" s="14">
        <f t="shared" si="4"/>
        <v>0</v>
      </c>
      <c r="P59" s="15">
        <f t="shared" si="5"/>
        <v>-5.130854926994175</v>
      </c>
      <c r="Q59" s="541">
        <f t="shared" si="6"/>
        <v>0.95712071239583441</v>
      </c>
      <c r="R59" s="615"/>
      <c r="S59" s="34"/>
      <c r="T59" s="34"/>
      <c r="U59" s="540"/>
      <c r="V59" s="544"/>
      <c r="W59" s="12"/>
      <c r="X59" s="12"/>
      <c r="Y59" s="24">
        <f>SUM(Y52:Y58)</f>
        <v>0</v>
      </c>
      <c r="Z59" s="24">
        <f>SUM(Z52:Z58)</f>
        <v>0</v>
      </c>
      <c r="AA59" s="614"/>
      <c r="AB59" s="614"/>
      <c r="AC59" s="24">
        <v>7</v>
      </c>
      <c r="AD59" s="24">
        <f>SUM(AD52:AD58)</f>
        <v>0</v>
      </c>
      <c r="AE59" s="14">
        <f>M59-J59</f>
        <v>-85.758575208331195</v>
      </c>
      <c r="AF59" s="541">
        <f t="shared" si="9"/>
        <v>0.95712071239583441</v>
      </c>
      <c r="AG59" s="615"/>
    </row>
    <row r="60" spans="1:33" ht="15.75" customHeight="1">
      <c r="A60" s="626" t="s">
        <v>2776</v>
      </c>
      <c r="B60" s="546" t="s">
        <v>40</v>
      </c>
      <c r="C60" s="616" t="s">
        <v>42</v>
      </c>
      <c r="D60" s="616"/>
      <c r="E60" s="29">
        <v>35.119999999999997</v>
      </c>
      <c r="F60" s="32">
        <v>6528</v>
      </c>
      <c r="G60" s="540">
        <f t="shared" ref="G60:G63" si="40">E60*F60</f>
        <v>229263.35999999999</v>
      </c>
      <c r="H60" s="33" t="s">
        <v>57</v>
      </c>
      <c r="I60" s="543">
        <v>10</v>
      </c>
      <c r="J60" s="31">
        <v>3000</v>
      </c>
      <c r="K60" s="12">
        <f t="shared" si="1"/>
        <v>300</v>
      </c>
      <c r="L60" s="543">
        <v>10</v>
      </c>
      <c r="M60" s="13">
        <f t="shared" ref="M60:M63" si="41">F60/V60*60</f>
        <v>2858.9781021897797</v>
      </c>
      <c r="N60" s="12">
        <f t="shared" si="3"/>
        <v>285.89781021897795</v>
      </c>
      <c r="O60" s="14">
        <f t="shared" si="4"/>
        <v>0</v>
      </c>
      <c r="P60" s="15">
        <f t="shared" si="5"/>
        <v>-14.102189781022048</v>
      </c>
      <c r="Q60" s="541">
        <f t="shared" si="6"/>
        <v>0.95299270072992648</v>
      </c>
      <c r="R60" s="615">
        <f>Q64</f>
        <v>0.95755193567901309</v>
      </c>
      <c r="S60" s="34">
        <v>0.20833333333333334</v>
      </c>
      <c r="T60" s="34">
        <v>0.30347222222222225</v>
      </c>
      <c r="U60" s="540"/>
      <c r="V60" s="544">
        <f t="shared" ref="V60:V63" si="42">(T60-S60)*24*60</f>
        <v>137.00000000000006</v>
      </c>
      <c r="W60" s="16"/>
      <c r="X60" s="16"/>
      <c r="Y60" s="21"/>
      <c r="Z60" s="21"/>
      <c r="AA60" s="617"/>
      <c r="AB60" s="617"/>
      <c r="AC60" s="18">
        <v>4</v>
      </c>
      <c r="AD60" s="18"/>
      <c r="AE60" s="14">
        <f t="shared" ref="AE60:AE72" si="43">M60-J60</f>
        <v>-141.02189781022025</v>
      </c>
      <c r="AF60" s="541">
        <f t="shared" si="9"/>
        <v>0.95299270072992659</v>
      </c>
      <c r="AG60" s="615">
        <f>AF64</f>
        <v>0.95755193567901309</v>
      </c>
    </row>
    <row r="61" spans="1:33" ht="15.75" customHeight="1">
      <c r="A61" s="626" t="s">
        <v>2776</v>
      </c>
      <c r="B61" s="546" t="s">
        <v>40</v>
      </c>
      <c r="C61" s="616" t="s">
        <v>51</v>
      </c>
      <c r="D61" s="616"/>
      <c r="E61" s="29">
        <v>26.78</v>
      </c>
      <c r="F61" s="32">
        <v>2884</v>
      </c>
      <c r="G61" s="540">
        <f t="shared" si="40"/>
        <v>77233.52</v>
      </c>
      <c r="H61" s="33" t="s">
        <v>57</v>
      </c>
      <c r="I61" s="543">
        <v>10</v>
      </c>
      <c r="J61" s="31">
        <v>3000</v>
      </c>
      <c r="K61" s="12">
        <f t="shared" si="1"/>
        <v>300</v>
      </c>
      <c r="L61" s="543">
        <v>10</v>
      </c>
      <c r="M61" s="13">
        <f t="shared" si="41"/>
        <v>2883.9999999999986</v>
      </c>
      <c r="N61" s="12">
        <f t="shared" si="3"/>
        <v>288.39999999999986</v>
      </c>
      <c r="O61" s="14">
        <f t="shared" si="4"/>
        <v>0</v>
      </c>
      <c r="P61" s="15">
        <f t="shared" si="5"/>
        <v>-11.600000000000136</v>
      </c>
      <c r="Q61" s="541">
        <f t="shared" si="6"/>
        <v>0.96133333333333293</v>
      </c>
      <c r="R61" s="615"/>
      <c r="S61" s="34">
        <v>0.30763888888888891</v>
      </c>
      <c r="T61" s="34">
        <v>0.34930555555555559</v>
      </c>
      <c r="U61" s="540">
        <f t="shared" ref="U61:U63" si="44">(S61-T60)*24*60</f>
        <v>5.9999999999999787</v>
      </c>
      <c r="V61" s="544">
        <f t="shared" si="42"/>
        <v>60.000000000000028</v>
      </c>
      <c r="W61" s="540"/>
      <c r="X61" s="540"/>
      <c r="Y61" s="540"/>
      <c r="Z61" s="540"/>
      <c r="AA61" s="617"/>
      <c r="AB61" s="617"/>
      <c r="AC61" s="18"/>
      <c r="AD61" s="18"/>
      <c r="AE61" s="14">
        <f t="shared" si="43"/>
        <v>-116.00000000000136</v>
      </c>
      <c r="AF61" s="541">
        <f t="shared" si="9"/>
        <v>0.96133333333333293</v>
      </c>
      <c r="AG61" s="615"/>
    </row>
    <row r="62" spans="1:33" ht="15.75" customHeight="1">
      <c r="A62" s="626" t="s">
        <v>2777</v>
      </c>
      <c r="B62" s="546" t="s">
        <v>40</v>
      </c>
      <c r="C62" s="616" t="s">
        <v>52</v>
      </c>
      <c r="D62" s="616"/>
      <c r="E62" s="29">
        <v>35.869999999999997</v>
      </c>
      <c r="F62" s="32">
        <v>3982</v>
      </c>
      <c r="G62" s="540">
        <f t="shared" si="40"/>
        <v>142834.34</v>
      </c>
      <c r="H62" s="33" t="s">
        <v>57</v>
      </c>
      <c r="I62" s="543">
        <v>9</v>
      </c>
      <c r="J62" s="31">
        <v>3000</v>
      </c>
      <c r="K62" s="12">
        <f t="shared" si="1"/>
        <v>333.33333333333331</v>
      </c>
      <c r="L62" s="543">
        <v>9</v>
      </c>
      <c r="M62" s="13">
        <f t="shared" si="41"/>
        <v>2878.5542168674688</v>
      </c>
      <c r="N62" s="12">
        <f t="shared" si="3"/>
        <v>319.83935742971875</v>
      </c>
      <c r="O62" s="14">
        <f t="shared" si="4"/>
        <v>0</v>
      </c>
      <c r="P62" s="15">
        <f t="shared" si="5"/>
        <v>-13.493975903614569</v>
      </c>
      <c r="Q62" s="541">
        <f t="shared" si="6"/>
        <v>0.95951807228915631</v>
      </c>
      <c r="R62" s="615"/>
      <c r="S62" s="34">
        <v>0.35347222222222224</v>
      </c>
      <c r="T62" s="34">
        <v>0.41111111111111115</v>
      </c>
      <c r="U62" s="540">
        <f t="shared" si="44"/>
        <v>5.9999999999999787</v>
      </c>
      <c r="V62" s="544">
        <f t="shared" si="42"/>
        <v>83.000000000000028</v>
      </c>
      <c r="W62" s="540"/>
      <c r="X62" s="540"/>
      <c r="Y62" s="540"/>
      <c r="Z62" s="540"/>
      <c r="AA62" s="617"/>
      <c r="AB62" s="617"/>
      <c r="AC62" s="18"/>
      <c r="AD62" s="18"/>
      <c r="AE62" s="14">
        <f t="shared" si="43"/>
        <v>-121.44578313253123</v>
      </c>
      <c r="AF62" s="541">
        <f t="shared" si="9"/>
        <v>0.95951807228915631</v>
      </c>
      <c r="AG62" s="615"/>
    </row>
    <row r="63" spans="1:33" ht="15.75" customHeight="1">
      <c r="A63" s="626" t="s">
        <v>2777</v>
      </c>
      <c r="B63" s="546" t="s">
        <v>40</v>
      </c>
      <c r="C63" s="616" t="s">
        <v>53</v>
      </c>
      <c r="D63" s="616"/>
      <c r="E63" s="29">
        <v>34.35</v>
      </c>
      <c r="F63" s="32">
        <v>2104</v>
      </c>
      <c r="G63" s="540">
        <f t="shared" si="40"/>
        <v>72272.400000000009</v>
      </c>
      <c r="H63" s="33" t="s">
        <v>57</v>
      </c>
      <c r="I63" s="543">
        <v>8</v>
      </c>
      <c r="J63" s="31">
        <v>3000</v>
      </c>
      <c r="K63" s="12">
        <f t="shared" si="1"/>
        <v>375</v>
      </c>
      <c r="L63" s="543">
        <v>8</v>
      </c>
      <c r="M63" s="13">
        <f t="shared" si="41"/>
        <v>2869.090909090909</v>
      </c>
      <c r="N63" s="12">
        <f t="shared" si="3"/>
        <v>358.63636363636363</v>
      </c>
      <c r="O63" s="14">
        <f t="shared" si="4"/>
        <v>0</v>
      </c>
      <c r="P63" s="15">
        <f t="shared" si="5"/>
        <v>-16.363636363636374</v>
      </c>
      <c r="Q63" s="541">
        <f t="shared" si="6"/>
        <v>0.9563636363636363</v>
      </c>
      <c r="R63" s="615"/>
      <c r="S63" s="34">
        <v>0.4152777777777778</v>
      </c>
      <c r="T63" s="34">
        <v>0.44583333333333336</v>
      </c>
      <c r="U63" s="540">
        <f t="shared" si="44"/>
        <v>5.9999999999999787</v>
      </c>
      <c r="V63" s="544">
        <f t="shared" si="42"/>
        <v>44</v>
      </c>
      <c r="W63" s="540"/>
      <c r="X63" s="540"/>
      <c r="Y63" s="540"/>
      <c r="Z63" s="540"/>
      <c r="AA63" s="617"/>
      <c r="AB63" s="617"/>
      <c r="AC63" s="18"/>
      <c r="AD63" s="18"/>
      <c r="AE63" s="14">
        <f t="shared" si="43"/>
        <v>-130.90909090909099</v>
      </c>
      <c r="AF63" s="541">
        <f t="shared" si="9"/>
        <v>0.9563636363636363</v>
      </c>
      <c r="AG63" s="615"/>
    </row>
    <row r="64" spans="1:33">
      <c r="A64" s="627" t="s">
        <v>2777</v>
      </c>
      <c r="B64" s="29" t="s">
        <v>2761</v>
      </c>
      <c r="C64" s="618"/>
      <c r="D64" s="618"/>
      <c r="E64" s="542"/>
      <c r="F64" s="30"/>
      <c r="G64" s="12"/>
      <c r="H64" s="546"/>
      <c r="I64" s="23">
        <v>9.25</v>
      </c>
      <c r="J64" s="31">
        <v>3000</v>
      </c>
      <c r="K64" s="12">
        <f t="shared" si="1"/>
        <v>324.32432432432432</v>
      </c>
      <c r="L64" s="23">
        <v>9.25</v>
      </c>
      <c r="M64" s="13">
        <f>AVERAGE(M60:M63)</f>
        <v>2872.6558070370393</v>
      </c>
      <c r="N64" s="12">
        <f t="shared" si="3"/>
        <v>310.55738454454479</v>
      </c>
      <c r="O64" s="14">
        <f t="shared" si="4"/>
        <v>0</v>
      </c>
      <c r="P64" s="15">
        <f t="shared" si="5"/>
        <v>-13.766939779779534</v>
      </c>
      <c r="Q64" s="541">
        <f t="shared" si="6"/>
        <v>0.95755193567901309</v>
      </c>
      <c r="R64" s="615"/>
      <c r="S64" s="34"/>
      <c r="T64" s="34"/>
      <c r="U64" s="12"/>
      <c r="V64" s="544"/>
      <c r="W64" s="12"/>
      <c r="X64" s="12"/>
      <c r="Y64" s="24">
        <f>SUM(Y60:Y63)</f>
        <v>0</v>
      </c>
      <c r="Z64" s="24">
        <f>SUM(Z60:Z63)</f>
        <v>0</v>
      </c>
      <c r="AA64" s="614"/>
      <c r="AB64" s="614"/>
      <c r="AC64" s="24">
        <v>4</v>
      </c>
      <c r="AD64" s="24">
        <f>SUM(AD60:AD63)</f>
        <v>0</v>
      </c>
      <c r="AE64" s="14">
        <f t="shared" si="43"/>
        <v>-127.34419296296073</v>
      </c>
      <c r="AF64" s="541">
        <f t="shared" si="9"/>
        <v>0.95755193567901309</v>
      </c>
      <c r="AG64" s="615"/>
    </row>
    <row r="65" spans="1:33" ht="15.75" customHeight="1">
      <c r="A65" s="619" t="s">
        <v>2778</v>
      </c>
      <c r="B65" s="546" t="s">
        <v>32</v>
      </c>
      <c r="C65" s="616" t="s">
        <v>56</v>
      </c>
      <c r="D65" s="616"/>
      <c r="E65" s="29">
        <v>19.02</v>
      </c>
      <c r="F65" s="546">
        <v>6100</v>
      </c>
      <c r="G65" s="540">
        <f t="shared" ref="G65:G71" si="45">E65*F65</f>
        <v>116022</v>
      </c>
      <c r="H65" s="33">
        <v>2</v>
      </c>
      <c r="I65" s="543">
        <v>14</v>
      </c>
      <c r="J65" s="31">
        <v>2400</v>
      </c>
      <c r="K65" s="12">
        <f t="shared" si="1"/>
        <v>171.42857142857142</v>
      </c>
      <c r="L65" s="543">
        <v>14</v>
      </c>
      <c r="M65" s="13">
        <f t="shared" ref="M65:M71" si="46">F65/V65*60</f>
        <v>2287.5000000000005</v>
      </c>
      <c r="N65" s="12">
        <f t="shared" si="3"/>
        <v>163.39285714285717</v>
      </c>
      <c r="O65" s="14">
        <f t="shared" si="4"/>
        <v>0</v>
      </c>
      <c r="P65" s="15">
        <f t="shared" si="5"/>
        <v>-8.0357142857142492</v>
      </c>
      <c r="Q65" s="541">
        <f t="shared" si="6"/>
        <v>0.95312500000000022</v>
      </c>
      <c r="R65" s="615">
        <f>Q72</f>
        <v>0.95296552334458096</v>
      </c>
      <c r="S65" s="34">
        <v>8.3333333333333329E-2</v>
      </c>
      <c r="T65" s="34">
        <v>0.19444444444444442</v>
      </c>
      <c r="U65" s="21"/>
      <c r="V65" s="544">
        <f t="shared" ref="V65:V71" si="47">(T65-S65)*24*60</f>
        <v>159.99999999999997</v>
      </c>
      <c r="W65" s="16">
        <f>T65</f>
        <v>0.19444444444444442</v>
      </c>
      <c r="X65" s="16">
        <f>S66</f>
        <v>0.21527777777777776</v>
      </c>
      <c r="Y65" s="16"/>
      <c r="Z65" s="16"/>
      <c r="AA65" s="617"/>
      <c r="AB65" s="617"/>
      <c r="AC65" s="18">
        <v>7</v>
      </c>
      <c r="AD65" s="18"/>
      <c r="AE65" s="14">
        <f t="shared" si="43"/>
        <v>-112.49999999999955</v>
      </c>
      <c r="AF65" s="541">
        <f t="shared" si="9"/>
        <v>0.95312500000000022</v>
      </c>
      <c r="AG65" s="615">
        <f>AF72</f>
        <v>0.95296552334458096</v>
      </c>
    </row>
    <row r="66" spans="1:33" ht="15.75" customHeight="1">
      <c r="A66" s="620" t="s">
        <v>2778</v>
      </c>
      <c r="B66" s="546" t="s">
        <v>32</v>
      </c>
      <c r="C66" s="616" t="s">
        <v>36</v>
      </c>
      <c r="D66" s="616"/>
      <c r="E66" s="29">
        <v>20.36</v>
      </c>
      <c r="F66" s="546">
        <v>4751</v>
      </c>
      <c r="G66" s="540">
        <f t="shared" si="45"/>
        <v>96730.36</v>
      </c>
      <c r="H66" s="33" t="s">
        <v>57</v>
      </c>
      <c r="I66" s="543">
        <v>17</v>
      </c>
      <c r="J66" s="31">
        <v>2400</v>
      </c>
      <c r="K66" s="12">
        <f t="shared" si="1"/>
        <v>141.1764705882353</v>
      </c>
      <c r="L66" s="543">
        <v>17</v>
      </c>
      <c r="M66" s="13">
        <f t="shared" si="46"/>
        <v>2280.48</v>
      </c>
      <c r="N66" s="12">
        <f t="shared" si="3"/>
        <v>134.14588235294119</v>
      </c>
      <c r="O66" s="14">
        <f t="shared" si="4"/>
        <v>0</v>
      </c>
      <c r="P66" s="15">
        <f t="shared" si="5"/>
        <v>-7.0305882352941182</v>
      </c>
      <c r="Q66" s="541">
        <f t="shared" si="6"/>
        <v>0.95020000000000004</v>
      </c>
      <c r="R66" s="615"/>
      <c r="S66" s="34">
        <v>0.21527777777777776</v>
      </c>
      <c r="T66" s="34">
        <v>0.30208333333333331</v>
      </c>
      <c r="U66" s="540">
        <f t="shared" ref="U66:U71" si="48">(S66-T65)*24*60</f>
        <v>30.000000000000014</v>
      </c>
      <c r="V66" s="544">
        <f t="shared" si="47"/>
        <v>124.99999999999999</v>
      </c>
      <c r="W66" s="16"/>
      <c r="X66" s="16"/>
      <c r="Y66" s="16"/>
      <c r="Z66" s="16"/>
      <c r="AA66" s="617"/>
      <c r="AB66" s="617"/>
      <c r="AC66" s="18"/>
      <c r="AD66" s="18"/>
      <c r="AE66" s="14">
        <f t="shared" si="43"/>
        <v>-119.51999999999998</v>
      </c>
      <c r="AF66" s="541">
        <f t="shared" si="9"/>
        <v>0.95020000000000004</v>
      </c>
      <c r="AG66" s="615"/>
    </row>
    <row r="67" spans="1:33" ht="15.75" customHeight="1">
      <c r="A67" s="620" t="s">
        <v>2779</v>
      </c>
      <c r="B67" s="546" t="s">
        <v>32</v>
      </c>
      <c r="C67" s="616" t="s">
        <v>54</v>
      </c>
      <c r="D67" s="616"/>
      <c r="E67" s="29">
        <v>20.21</v>
      </c>
      <c r="F67" s="546">
        <v>3054</v>
      </c>
      <c r="G67" s="540">
        <f t="shared" si="45"/>
        <v>61721.340000000004</v>
      </c>
      <c r="H67" s="33" t="s">
        <v>57</v>
      </c>
      <c r="I67" s="543">
        <v>15</v>
      </c>
      <c r="J67" s="31">
        <v>2400</v>
      </c>
      <c r="K67" s="12">
        <f t="shared" si="1"/>
        <v>160</v>
      </c>
      <c r="L67" s="543">
        <v>15</v>
      </c>
      <c r="M67" s="13">
        <f t="shared" si="46"/>
        <v>2290.5000000000009</v>
      </c>
      <c r="N67" s="12">
        <f t="shared" si="3"/>
        <v>152.70000000000007</v>
      </c>
      <c r="O67" s="14">
        <f t="shared" si="4"/>
        <v>0</v>
      </c>
      <c r="P67" s="15">
        <f t="shared" si="5"/>
        <v>-7.2999999999999261</v>
      </c>
      <c r="Q67" s="541">
        <f t="shared" si="6"/>
        <v>0.95437500000000042</v>
      </c>
      <c r="R67" s="615"/>
      <c r="S67" s="34">
        <v>0.30763888888888885</v>
      </c>
      <c r="T67" s="34">
        <v>0.36319444444444438</v>
      </c>
      <c r="U67" s="540">
        <f t="shared" si="48"/>
        <v>7.9999999999999716</v>
      </c>
      <c r="V67" s="544">
        <f t="shared" si="47"/>
        <v>79.999999999999957</v>
      </c>
      <c r="W67" s="16"/>
      <c r="X67" s="16"/>
      <c r="Y67" s="16"/>
      <c r="Z67" s="16"/>
      <c r="AA67" s="617"/>
      <c r="AB67" s="617"/>
      <c r="AC67" s="18"/>
      <c r="AD67" s="18"/>
      <c r="AE67" s="14">
        <f t="shared" si="43"/>
        <v>-109.49999999999909</v>
      </c>
      <c r="AF67" s="541">
        <f t="shared" si="9"/>
        <v>0.95437500000000042</v>
      </c>
      <c r="AG67" s="615"/>
    </row>
    <row r="68" spans="1:33" ht="15.75" customHeight="1">
      <c r="A68" s="620" t="s">
        <v>2779</v>
      </c>
      <c r="B68" s="546" t="s">
        <v>32</v>
      </c>
      <c r="C68" s="616" t="s">
        <v>55</v>
      </c>
      <c r="D68" s="616"/>
      <c r="E68" s="29">
        <v>22.69</v>
      </c>
      <c r="F68" s="546">
        <v>3008</v>
      </c>
      <c r="G68" s="540">
        <f t="shared" si="45"/>
        <v>68251.520000000004</v>
      </c>
      <c r="H68" s="33" t="s">
        <v>57</v>
      </c>
      <c r="I68" s="543">
        <v>15</v>
      </c>
      <c r="J68" s="31">
        <v>2400</v>
      </c>
      <c r="K68" s="12">
        <f t="shared" si="1"/>
        <v>160</v>
      </c>
      <c r="L68" s="543">
        <v>15</v>
      </c>
      <c r="M68" s="13">
        <f t="shared" si="46"/>
        <v>2284.5569620253154</v>
      </c>
      <c r="N68" s="12">
        <f t="shared" si="3"/>
        <v>152.30379746835436</v>
      </c>
      <c r="O68" s="14">
        <f t="shared" si="4"/>
        <v>0</v>
      </c>
      <c r="P68" s="15">
        <f t="shared" si="5"/>
        <v>-7.6962025316456391</v>
      </c>
      <c r="Q68" s="541">
        <f t="shared" si="6"/>
        <v>0.95189873417721471</v>
      </c>
      <c r="R68" s="615"/>
      <c r="S68" s="34">
        <v>0.36805555555555547</v>
      </c>
      <c r="T68" s="34">
        <v>0.42291666666666661</v>
      </c>
      <c r="U68" s="540">
        <f t="shared" si="48"/>
        <v>6.9999999999999751</v>
      </c>
      <c r="V68" s="544">
        <f t="shared" si="47"/>
        <v>79.000000000000043</v>
      </c>
      <c r="W68" s="16"/>
      <c r="X68" s="16"/>
      <c r="Y68" s="16"/>
      <c r="Z68" s="16"/>
      <c r="AA68" s="617"/>
      <c r="AB68" s="617"/>
      <c r="AC68" s="18"/>
      <c r="AD68" s="18"/>
      <c r="AE68" s="14">
        <f t="shared" si="43"/>
        <v>-115.44303797468456</v>
      </c>
      <c r="AF68" s="541">
        <f t="shared" si="9"/>
        <v>0.95189873417721482</v>
      </c>
      <c r="AG68" s="615"/>
    </row>
    <row r="69" spans="1:33" ht="15.75" customHeight="1">
      <c r="A69" s="620" t="s">
        <v>2778</v>
      </c>
      <c r="B69" s="546" t="s">
        <v>32</v>
      </c>
      <c r="C69" s="616" t="s">
        <v>949</v>
      </c>
      <c r="D69" s="616"/>
      <c r="E69" s="29">
        <v>25.98</v>
      </c>
      <c r="F69" s="546">
        <v>4758</v>
      </c>
      <c r="G69" s="540">
        <f t="shared" si="45"/>
        <v>123612.84</v>
      </c>
      <c r="H69" s="33" t="s">
        <v>57</v>
      </c>
      <c r="I69" s="543">
        <v>17</v>
      </c>
      <c r="J69" s="31">
        <v>2400</v>
      </c>
      <c r="K69" s="12">
        <f t="shared" ref="K69:K80" si="49">J69/I69</f>
        <v>141.1764705882353</v>
      </c>
      <c r="L69" s="543">
        <v>17</v>
      </c>
      <c r="M69" s="13">
        <f t="shared" si="46"/>
        <v>2283.8399999999997</v>
      </c>
      <c r="N69" s="12">
        <f t="shared" ref="N69:N80" si="50">M69/L69</f>
        <v>134.34352941176468</v>
      </c>
      <c r="O69" s="14">
        <f t="shared" ref="O69:O80" si="51">L69-I69</f>
        <v>0</v>
      </c>
      <c r="P69" s="15">
        <f t="shared" ref="P69:P80" si="52">N69-K69</f>
        <v>-6.8329411764706265</v>
      </c>
      <c r="Q69" s="541">
        <f t="shared" ref="Q69:Q80" si="53">N69/K69</f>
        <v>0.95159999999999978</v>
      </c>
      <c r="R69" s="615"/>
      <c r="S69" s="34">
        <v>0.42847222222222214</v>
      </c>
      <c r="T69" s="34">
        <v>0.51527777777777772</v>
      </c>
      <c r="U69" s="540">
        <f t="shared" si="48"/>
        <v>7.9999999999999716</v>
      </c>
      <c r="V69" s="544">
        <f t="shared" si="47"/>
        <v>125.00000000000003</v>
      </c>
      <c r="W69" s="16">
        <f>T69</f>
        <v>0.51527777777777772</v>
      </c>
      <c r="X69" s="16">
        <f>S70</f>
        <v>0.55486111111111103</v>
      </c>
      <c r="Y69" s="16"/>
      <c r="Z69" s="16"/>
      <c r="AA69" s="617"/>
      <c r="AB69" s="617"/>
      <c r="AC69" s="18"/>
      <c r="AD69" s="18"/>
      <c r="AE69" s="14">
        <f t="shared" si="43"/>
        <v>-116.16000000000031</v>
      </c>
      <c r="AF69" s="541">
        <f t="shared" ref="AF69:AF80" si="54">M69/J69</f>
        <v>0.95159999999999989</v>
      </c>
      <c r="AG69" s="615"/>
    </row>
    <row r="70" spans="1:33" ht="15.75" customHeight="1">
      <c r="A70" s="620" t="s">
        <v>2778</v>
      </c>
      <c r="B70" s="546" t="s">
        <v>32</v>
      </c>
      <c r="C70" s="616" t="s">
        <v>37</v>
      </c>
      <c r="D70" s="616"/>
      <c r="E70" s="29">
        <v>24.43</v>
      </c>
      <c r="F70" s="546">
        <v>3251</v>
      </c>
      <c r="G70" s="540">
        <f t="shared" si="45"/>
        <v>79421.929999999993</v>
      </c>
      <c r="H70" s="33" t="s">
        <v>57</v>
      </c>
      <c r="I70" s="543">
        <v>14</v>
      </c>
      <c r="J70" s="31">
        <v>2400</v>
      </c>
      <c r="K70" s="12">
        <f t="shared" si="49"/>
        <v>171.42857142857142</v>
      </c>
      <c r="L70" s="543">
        <v>14</v>
      </c>
      <c r="M70" s="13">
        <f t="shared" si="46"/>
        <v>2294.8235294117644</v>
      </c>
      <c r="N70" s="12">
        <f t="shared" si="50"/>
        <v>163.9159663865546</v>
      </c>
      <c r="O70" s="14">
        <f t="shared" si="51"/>
        <v>0</v>
      </c>
      <c r="P70" s="15">
        <f t="shared" si="52"/>
        <v>-7.5126050420168156</v>
      </c>
      <c r="Q70" s="541">
        <f t="shared" si="53"/>
        <v>0.95617647058823529</v>
      </c>
      <c r="R70" s="615"/>
      <c r="S70" s="34">
        <v>0.55486111111111103</v>
      </c>
      <c r="T70" s="34">
        <v>0.61388888888888882</v>
      </c>
      <c r="U70" s="540">
        <f t="shared" si="48"/>
        <v>56.999999999999957</v>
      </c>
      <c r="V70" s="544">
        <f t="shared" si="47"/>
        <v>85.000000000000014</v>
      </c>
      <c r="W70" s="16"/>
      <c r="X70" s="16"/>
      <c r="Y70" s="16"/>
      <c r="Z70" s="16"/>
      <c r="AA70" s="617"/>
      <c r="AB70" s="617"/>
      <c r="AC70" s="18"/>
      <c r="AD70" s="18"/>
      <c r="AE70" s="14">
        <f t="shared" si="43"/>
        <v>-105.17647058823559</v>
      </c>
      <c r="AF70" s="541">
        <f t="shared" si="54"/>
        <v>0.95617647058823518</v>
      </c>
      <c r="AG70" s="615"/>
    </row>
    <row r="71" spans="1:33" ht="15.75" customHeight="1">
      <c r="A71" s="620" t="s">
        <v>2779</v>
      </c>
      <c r="B71" s="546" t="s">
        <v>32</v>
      </c>
      <c r="C71" s="622" t="s">
        <v>56</v>
      </c>
      <c r="D71" s="623"/>
      <c r="E71" s="29">
        <v>19.02</v>
      </c>
      <c r="F71" s="546">
        <v>5072</v>
      </c>
      <c r="G71" s="540">
        <f t="shared" si="45"/>
        <v>96469.440000000002</v>
      </c>
      <c r="H71" s="33" t="s">
        <v>57</v>
      </c>
      <c r="I71" s="543">
        <v>14</v>
      </c>
      <c r="J71" s="31">
        <v>2400</v>
      </c>
      <c r="K71" s="12">
        <f t="shared" si="49"/>
        <v>171.42857142857142</v>
      </c>
      <c r="L71" s="543">
        <v>14</v>
      </c>
      <c r="M71" s="13">
        <f t="shared" si="46"/>
        <v>2288.1203007518798</v>
      </c>
      <c r="N71" s="12">
        <f t="shared" si="50"/>
        <v>163.43716433941998</v>
      </c>
      <c r="O71" s="14">
        <f t="shared" si="51"/>
        <v>0</v>
      </c>
      <c r="P71" s="15">
        <f t="shared" si="52"/>
        <v>-7.991407089151437</v>
      </c>
      <c r="Q71" s="541">
        <f t="shared" si="53"/>
        <v>0.95338345864661667</v>
      </c>
      <c r="R71" s="615"/>
      <c r="S71" s="34">
        <v>0.61944444444444435</v>
      </c>
      <c r="T71" s="34">
        <v>0.71180555555555547</v>
      </c>
      <c r="U71" s="540">
        <f t="shared" si="48"/>
        <v>7.9999999999999716</v>
      </c>
      <c r="V71" s="544">
        <f t="shared" si="47"/>
        <v>133</v>
      </c>
      <c r="W71" s="16"/>
      <c r="X71" s="16"/>
      <c r="Y71" s="19"/>
      <c r="Z71" s="19"/>
      <c r="AA71" s="624"/>
      <c r="AB71" s="625"/>
      <c r="AC71" s="18"/>
      <c r="AD71" s="18"/>
      <c r="AE71" s="14">
        <f t="shared" si="43"/>
        <v>-111.87969924812023</v>
      </c>
      <c r="AF71" s="541">
        <f t="shared" si="54"/>
        <v>0.95338345864661656</v>
      </c>
      <c r="AG71" s="615"/>
    </row>
    <row r="72" spans="1:33" ht="16.5" customHeight="1">
      <c r="A72" s="621" t="s">
        <v>2779</v>
      </c>
      <c r="B72" s="29" t="s">
        <v>2761</v>
      </c>
      <c r="C72" s="612"/>
      <c r="D72" s="613"/>
      <c r="E72" s="542"/>
      <c r="F72" s="30"/>
      <c r="G72" s="12"/>
      <c r="H72" s="546"/>
      <c r="I72" s="23">
        <v>15.142857142857142</v>
      </c>
      <c r="J72" s="31">
        <v>2400</v>
      </c>
      <c r="K72" s="12">
        <f t="shared" si="49"/>
        <v>158.49056603773585</v>
      </c>
      <c r="L72" s="23">
        <v>15.142857142857142</v>
      </c>
      <c r="M72" s="13">
        <f>AVERAGE(M65:M71)</f>
        <v>2287.1172560269943</v>
      </c>
      <c r="N72" s="12">
        <f t="shared" si="50"/>
        <v>151.03604520932981</v>
      </c>
      <c r="O72" s="14">
        <f t="shared" si="51"/>
        <v>0</v>
      </c>
      <c r="P72" s="15">
        <f t="shared" si="52"/>
        <v>-7.4545208284060323</v>
      </c>
      <c r="Q72" s="541">
        <f t="shared" si="53"/>
        <v>0.95296552334458096</v>
      </c>
      <c r="R72" s="615"/>
      <c r="S72" s="34"/>
      <c r="T72" s="34"/>
      <c r="U72" s="12"/>
      <c r="V72" s="544"/>
      <c r="W72" s="12"/>
      <c r="X72" s="12"/>
      <c r="Y72" s="24">
        <f>SUM(Y65:Y71)</f>
        <v>0</v>
      </c>
      <c r="Z72" s="24">
        <f>SUM(Z65:Z71)</f>
        <v>0</v>
      </c>
      <c r="AA72" s="614"/>
      <c r="AB72" s="614"/>
      <c r="AC72" s="24">
        <v>7</v>
      </c>
      <c r="AD72" s="24">
        <f>SUM(AD65:AD71)</f>
        <v>0</v>
      </c>
      <c r="AE72" s="14">
        <f t="shared" si="43"/>
        <v>-112.88274397300574</v>
      </c>
      <c r="AF72" s="541">
        <f t="shared" si="54"/>
        <v>0.95296552334458096</v>
      </c>
      <c r="AG72" s="615"/>
    </row>
    <row r="73" spans="1:33">
      <c r="D73" s="25"/>
      <c r="E73" s="25"/>
    </row>
  </sheetData>
  <mergeCells count="191">
    <mergeCell ref="C72:D72"/>
    <mergeCell ref="AA72:AB72"/>
    <mergeCell ref="AG65:AG72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63:AB63"/>
    <mergeCell ref="C64:D64"/>
    <mergeCell ref="AA64:AB64"/>
    <mergeCell ref="A65:A72"/>
    <mergeCell ref="C65:D65"/>
    <mergeCell ref="R65:R72"/>
    <mergeCell ref="AA65:AB65"/>
    <mergeCell ref="AA70:AB70"/>
    <mergeCell ref="C71:D71"/>
    <mergeCell ref="AA71:AB71"/>
    <mergeCell ref="A60:A64"/>
    <mergeCell ref="C60:D60"/>
    <mergeCell ref="R60:R64"/>
    <mergeCell ref="AA60:AB60"/>
    <mergeCell ref="AG60:AG64"/>
    <mergeCell ref="C61:D61"/>
    <mergeCell ref="AA61:AB61"/>
    <mergeCell ref="C62:D62"/>
    <mergeCell ref="AA62:AB62"/>
    <mergeCell ref="C63:D63"/>
    <mergeCell ref="AG52:AG59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C51:D51"/>
    <mergeCell ref="AA51:AB51"/>
    <mergeCell ref="A52:A59"/>
    <mergeCell ref="C52:D52"/>
    <mergeCell ref="R52:R59"/>
    <mergeCell ref="AA52:AB52"/>
    <mergeCell ref="AA58:AB58"/>
    <mergeCell ref="C59:D59"/>
    <mergeCell ref="AA59:AB59"/>
    <mergeCell ref="AA47:AB47"/>
    <mergeCell ref="A48:A51"/>
    <mergeCell ref="C48:D48"/>
    <mergeCell ref="R48:R51"/>
    <mergeCell ref="AA48:AB48"/>
    <mergeCell ref="AG48:AG51"/>
    <mergeCell ref="C49:D49"/>
    <mergeCell ref="AA49:AB49"/>
    <mergeCell ref="C50:D50"/>
    <mergeCell ref="AA50:AB50"/>
    <mergeCell ref="AG40:AG47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C39:D39"/>
    <mergeCell ref="AA39:AB39"/>
    <mergeCell ref="A40:A47"/>
    <mergeCell ref="C40:D40"/>
    <mergeCell ref="R40:R47"/>
    <mergeCell ref="AA40:AB40"/>
    <mergeCell ref="AA45:AB45"/>
    <mergeCell ref="C46:D46"/>
    <mergeCell ref="AA46:AB46"/>
    <mergeCell ref="C47:D47"/>
    <mergeCell ref="AA34:AB34"/>
    <mergeCell ref="C35:D35"/>
    <mergeCell ref="AA35:AB35"/>
    <mergeCell ref="C36:D36"/>
    <mergeCell ref="AA36:AB36"/>
    <mergeCell ref="C37:D37"/>
    <mergeCell ref="AA37:AB37"/>
    <mergeCell ref="A31:A39"/>
    <mergeCell ref="C31:D31"/>
    <mergeCell ref="R31:R39"/>
    <mergeCell ref="AA31:AB31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A13:AB13"/>
    <mergeCell ref="C14:D14"/>
    <mergeCell ref="AA14:AB14"/>
    <mergeCell ref="C15:D15"/>
    <mergeCell ref="AA15:AB15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3:O70 O59:O60 O72 O5:O10 O15:O17 O23:O57">
    <cfRule type="cellIs" dxfId="58" priority="51" operator="greaterThan">
      <formula>0</formula>
    </cfRule>
  </conditionalFormatting>
  <conditionalFormatting sqref="P5:P8 P63 AE63 P65:P70 P31:P38 P60 P10 P15:P17 P24:P29 P52:P57 P40:P50 AE5:AE60 AE65:AE72">
    <cfRule type="cellIs" dxfId="57" priority="55" operator="lessThan">
      <formula>0</formula>
    </cfRule>
  </conditionalFormatting>
  <conditionalFormatting sqref="AF63 Q63:Q70 Q59:Q60 Q72 Q5:Q10 Q15:Q17 Q23:Q57 AF5:AF60 AF65:AF72">
    <cfRule type="cellIs" dxfId="56" priority="52" operator="greaterThan">
      <formula>1</formula>
    </cfRule>
    <cfRule type="cellIs" dxfId="55" priority="53" operator="lessThan">
      <formula>0.8</formula>
    </cfRule>
  </conditionalFormatting>
  <conditionalFormatting sqref="AG16:AG17 R16:R17 AG63 R63:R70 AG59:AG60 R59:R60 R72 AG5:AG10 R5:R10 AG23:AG57 R23:R57">
    <cfRule type="cellIs" dxfId="54" priority="57" operator="lessThan">
      <formula>0.8</formula>
    </cfRule>
  </conditionalFormatting>
  <conditionalFormatting sqref="AG48">
    <cfRule type="cellIs" dxfId="53" priority="59" operator="lessThan">
      <formula>0.8</formula>
    </cfRule>
  </conditionalFormatting>
  <conditionalFormatting sqref="AG24:AG29">
    <cfRule type="cellIs" dxfId="52" priority="56" operator="lessThan">
      <formula>0.8</formula>
    </cfRule>
  </conditionalFormatting>
  <conditionalFormatting sqref="AG31">
    <cfRule type="cellIs" dxfId="51" priority="58" operator="lessThan">
      <formula>0.8</formula>
    </cfRule>
  </conditionalFormatting>
  <conditionalFormatting sqref="AG40:AG46">
    <cfRule type="cellIs" dxfId="50" priority="54" operator="lessThan">
      <formula>0.8</formula>
    </cfRule>
  </conditionalFormatting>
  <conditionalFormatting sqref="AE64">
    <cfRule type="cellIs" dxfId="49" priority="50" operator="lessThan">
      <formula>0</formula>
    </cfRule>
  </conditionalFormatting>
  <conditionalFormatting sqref="AF64">
    <cfRule type="cellIs" dxfId="48" priority="48" operator="greaterThan">
      <formula>1</formula>
    </cfRule>
    <cfRule type="cellIs" dxfId="47" priority="49" operator="lessThan">
      <formula>0.8</formula>
    </cfRule>
  </conditionalFormatting>
  <conditionalFormatting sqref="O18:O19">
    <cfRule type="cellIs" dxfId="46" priority="43" operator="greaterThan">
      <formula>0</formula>
    </cfRule>
  </conditionalFormatting>
  <conditionalFormatting sqref="P18:P19">
    <cfRule type="cellIs" dxfId="45" priority="46" operator="lessThan">
      <formula>0</formula>
    </cfRule>
  </conditionalFormatting>
  <conditionalFormatting sqref="Q18:Q19">
    <cfRule type="cellIs" dxfId="44" priority="44" operator="greaterThan">
      <formula>1</formula>
    </cfRule>
    <cfRule type="cellIs" dxfId="43" priority="45" operator="lessThan">
      <formula>0.8</formula>
    </cfRule>
  </conditionalFormatting>
  <conditionalFormatting sqref="R18:R19 AG18:AG19">
    <cfRule type="cellIs" dxfId="42" priority="47" operator="lessThan">
      <formula>0.8</formula>
    </cfRule>
  </conditionalFormatting>
  <conditionalFormatting sqref="O11:O14">
    <cfRule type="cellIs" dxfId="41" priority="39" operator="greaterThan">
      <formula>0</formula>
    </cfRule>
  </conditionalFormatting>
  <conditionalFormatting sqref="P11:P14">
    <cfRule type="cellIs" dxfId="40" priority="42" operator="lessThan">
      <formula>0</formula>
    </cfRule>
  </conditionalFormatting>
  <conditionalFormatting sqref="Q11:Q14">
    <cfRule type="cellIs" dxfId="39" priority="40" operator="greaterThan">
      <formula>1</formula>
    </cfRule>
    <cfRule type="cellIs" dxfId="38" priority="41" operator="lessThan">
      <formula>0.8</formula>
    </cfRule>
  </conditionalFormatting>
  <conditionalFormatting sqref="O58">
    <cfRule type="cellIs" dxfId="37" priority="34" operator="greaterThan">
      <formula>0</formula>
    </cfRule>
  </conditionalFormatting>
  <conditionalFormatting sqref="P58">
    <cfRule type="cellIs" dxfId="36" priority="37" operator="lessThan">
      <formula>0</formula>
    </cfRule>
  </conditionalFormatting>
  <conditionalFormatting sqref="Q58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R58 AG58">
    <cfRule type="cellIs" dxfId="33" priority="38" operator="lessThan">
      <formula>0.8</formula>
    </cfRule>
  </conditionalFormatting>
  <conditionalFormatting sqref="O62">
    <cfRule type="cellIs" dxfId="32" priority="29" operator="greaterThan">
      <formula>0</formula>
    </cfRule>
  </conditionalFormatting>
  <conditionalFormatting sqref="P62 AE62">
    <cfRule type="cellIs" dxfId="31" priority="32" operator="lessThan">
      <formula>0</formula>
    </cfRule>
  </conditionalFormatting>
  <conditionalFormatting sqref="Q62 AF62">
    <cfRule type="cellIs" dxfId="30" priority="30" operator="greaterThan">
      <formula>1</formula>
    </cfRule>
    <cfRule type="cellIs" dxfId="29" priority="31" operator="lessThan">
      <formula>0.8</formula>
    </cfRule>
  </conditionalFormatting>
  <conditionalFormatting sqref="R62 AG62">
    <cfRule type="cellIs" dxfId="28" priority="33" operator="lessThan">
      <formula>0.8</formula>
    </cfRule>
  </conditionalFormatting>
  <conditionalFormatting sqref="O71">
    <cfRule type="cellIs" dxfId="27" priority="24" operator="greaterThan">
      <formula>0</formula>
    </cfRule>
  </conditionalFormatting>
  <conditionalFormatting sqref="P71">
    <cfRule type="cellIs" dxfId="26" priority="27" operator="lessThan">
      <formula>0</formula>
    </cfRule>
  </conditionalFormatting>
  <conditionalFormatting sqref="Q71">
    <cfRule type="cellIs" dxfId="25" priority="25" operator="greaterThan">
      <formula>1</formula>
    </cfRule>
    <cfRule type="cellIs" dxfId="24" priority="26" operator="lessThan">
      <formula>0.8</formula>
    </cfRule>
  </conditionalFormatting>
  <conditionalFormatting sqref="R71">
    <cfRule type="cellIs" dxfId="23" priority="28" operator="lessThan">
      <formula>0.8</formula>
    </cfRule>
  </conditionalFormatting>
  <conditionalFormatting sqref="O20:O21">
    <cfRule type="cellIs" dxfId="22" priority="19" operator="greaterThan">
      <formula>0</formula>
    </cfRule>
  </conditionalFormatting>
  <conditionalFormatting sqref="P20:P21">
    <cfRule type="cellIs" dxfId="21" priority="22" operator="lessThan">
      <formula>0</formula>
    </cfRule>
  </conditionalFormatting>
  <conditionalFormatting sqref="Q20:Q21">
    <cfRule type="cellIs" dxfId="20" priority="20" operator="greaterThan">
      <formula>1</formula>
    </cfRule>
    <cfRule type="cellIs" dxfId="19" priority="21" operator="lessThan">
      <formula>0.8</formula>
    </cfRule>
  </conditionalFormatting>
  <conditionalFormatting sqref="R20:R21 AG20:AG21">
    <cfRule type="cellIs" dxfId="18" priority="23" operator="lessThan">
      <formula>0.8</formula>
    </cfRule>
  </conditionalFormatting>
  <conditionalFormatting sqref="O61">
    <cfRule type="cellIs" dxfId="17" priority="14" operator="greaterThan">
      <formula>0</formula>
    </cfRule>
  </conditionalFormatting>
  <conditionalFormatting sqref="P61 AE61">
    <cfRule type="cellIs" dxfId="16" priority="17" operator="lessThan">
      <formula>0</formula>
    </cfRule>
  </conditionalFormatting>
  <conditionalFormatting sqref="Q61 AF61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R61 AG61">
    <cfRule type="cellIs" dxfId="13" priority="18" operator="lessThan">
      <formula>0.8</formula>
    </cfRule>
  </conditionalFormatting>
  <conditionalFormatting sqref="O22">
    <cfRule type="cellIs" dxfId="12" priority="9" operator="greaterThan">
      <formula>0</formula>
    </cfRule>
  </conditionalFormatting>
  <conditionalFormatting sqref="P22">
    <cfRule type="cellIs" dxfId="11" priority="12" operator="lessThan">
      <formula>0</formula>
    </cfRule>
  </conditionalFormatting>
  <conditionalFormatting sqref="Q22">
    <cfRule type="cellIs" dxfId="10" priority="10" operator="greaterThan">
      <formula>1</formula>
    </cfRule>
    <cfRule type="cellIs" dxfId="9" priority="11" operator="lessThan">
      <formula>0.8</formula>
    </cfRule>
  </conditionalFormatting>
  <conditionalFormatting sqref="AG22 R22">
    <cfRule type="cellIs" dxfId="8" priority="13" operator="lessThan">
      <formula>0.8</formula>
    </cfRule>
  </conditionalFormatting>
  <conditionalFormatting sqref="P9">
    <cfRule type="cellIs" dxfId="7" priority="8" operator="lessThan">
      <formula>0</formula>
    </cfRule>
  </conditionalFormatting>
  <conditionalFormatting sqref="P23">
    <cfRule type="cellIs" dxfId="6" priority="7" operator="lessThan">
      <formula>0</formula>
    </cfRule>
  </conditionalFormatting>
  <conditionalFormatting sqref="P30">
    <cfRule type="cellIs" dxfId="5" priority="6" operator="lessThan">
      <formula>0</formula>
    </cfRule>
  </conditionalFormatting>
  <conditionalFormatting sqref="P39">
    <cfRule type="cellIs" dxfId="4" priority="5" operator="lessThan">
      <formula>0</formula>
    </cfRule>
  </conditionalFormatting>
  <conditionalFormatting sqref="P51">
    <cfRule type="cellIs" dxfId="3" priority="4" operator="lessThan">
      <formula>0</formula>
    </cfRule>
  </conditionalFormatting>
  <conditionalFormatting sqref="P59">
    <cfRule type="cellIs" dxfId="2" priority="3" operator="lessThan">
      <formula>0</formula>
    </cfRule>
  </conditionalFormatting>
  <conditionalFormatting sqref="P64">
    <cfRule type="cellIs" dxfId="1" priority="2" operator="lessThan">
      <formula>0</formula>
    </cfRule>
  </conditionalFormatting>
  <conditionalFormatting sqref="P72">
    <cfRule type="cellIs" dxfId="0" priority="1" operator="lessThan">
      <formula>0</formula>
    </cfRule>
  </conditionalFormatting>
  <dataValidations count="1">
    <dataValidation type="list" allowBlank="1" showInputMessage="1" showErrorMessage="1" sqref="AB9 AA5:AB8 AA9:AA63 AB11:AB60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2593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2594</v>
      </c>
      <c r="C3" s="601" t="str">
        <f>TEXT('0629 4度C'!A2,"yyyy.mm.ddaaaa")</f>
        <v>2026.06.29星期一</v>
      </c>
      <c r="D3" s="602"/>
      <c r="E3" s="39" t="s">
        <v>2595</v>
      </c>
      <c r="F3" s="603">
        <f>'0629 4度C'!D1</f>
        <v>196622</v>
      </c>
      <c r="G3" s="604"/>
      <c r="H3" s="39" t="s">
        <v>2596</v>
      </c>
      <c r="I3" s="605">
        <f>'0629 4度C'!F1</f>
        <v>6758725.1100000031</v>
      </c>
      <c r="J3" s="606"/>
      <c r="K3" s="40"/>
      <c r="L3" s="41"/>
      <c r="M3" s="42"/>
      <c r="N3" s="42"/>
    </row>
    <row r="4" spans="2:17" ht="28.5" customHeight="1">
      <c r="B4" s="607" t="s">
        <v>2597</v>
      </c>
      <c r="C4" s="593" t="s">
        <v>93</v>
      </c>
      <c r="D4" s="594"/>
      <c r="E4" s="610" t="s">
        <v>2598</v>
      </c>
      <c r="F4" s="611"/>
      <c r="G4" s="610" t="s">
        <v>2599</v>
      </c>
      <c r="H4" s="611"/>
      <c r="I4" s="610" t="s">
        <v>2600</v>
      </c>
      <c r="J4" s="611"/>
      <c r="K4" s="591" t="s">
        <v>2601</v>
      </c>
      <c r="L4" s="592"/>
      <c r="M4" s="592" t="s">
        <v>2602</v>
      </c>
      <c r="N4" s="592"/>
    </row>
    <row r="5" spans="2:17" ht="28.5" customHeight="1">
      <c r="B5" s="608"/>
      <c r="C5" s="593" t="s">
        <v>2603</v>
      </c>
      <c r="D5" s="594"/>
      <c r="E5" s="593" t="s">
        <v>2604</v>
      </c>
      <c r="F5" s="594"/>
      <c r="G5" s="595" t="s">
        <v>2605</v>
      </c>
      <c r="H5" s="596"/>
      <c r="I5" s="597" t="s">
        <v>2606</v>
      </c>
      <c r="J5" s="598"/>
      <c r="K5" s="43" t="s">
        <v>2607</v>
      </c>
      <c r="L5" s="44" t="s">
        <v>2608</v>
      </c>
      <c r="M5" s="43" t="s">
        <v>102</v>
      </c>
      <c r="N5" s="44" t="s">
        <v>2609</v>
      </c>
    </row>
    <row r="6" spans="2:17" ht="28.5" customHeight="1">
      <c r="B6" s="608"/>
      <c r="C6" s="593" t="s">
        <v>58</v>
      </c>
      <c r="D6" s="594"/>
      <c r="E6" s="585">
        <f>AVERAGE(D13:M13)</f>
        <v>158.32762019561827</v>
      </c>
      <c r="F6" s="586">
        <f>AVERAGE(D31:O31,D13:J13)</f>
        <v>166.71540830580986</v>
      </c>
      <c r="G6" s="587">
        <f>AVERAGE(D13:J13)</f>
        <v>166.71540830580986</v>
      </c>
      <c r="H6" s="588"/>
      <c r="I6" s="587">
        <f>AVERAGE(K13:M13)</f>
        <v>138.75611460517121</v>
      </c>
      <c r="J6" s="588"/>
      <c r="K6" s="589">
        <f>'0629 4度C'!Y2</f>
        <v>0</v>
      </c>
      <c r="L6" s="574">
        <f>'0629 4度C'!Z2</f>
        <v>0</v>
      </c>
      <c r="M6" s="590">
        <f>'0629 4度C'!AC2</f>
        <v>58</v>
      </c>
      <c r="N6" s="574">
        <f>'0629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151.50653906986884</v>
      </c>
      <c r="F7" s="578">
        <f>AVERAGE(D32:O32,D14:J14)</f>
        <v>159.57358542567118</v>
      </c>
      <c r="G7" s="579">
        <f>AVERAGE(D14:J14)</f>
        <v>159.57358542567118</v>
      </c>
      <c r="H7" s="580"/>
      <c r="I7" s="579">
        <f>AVERAGE(K14:M14)</f>
        <v>132.68343090633002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0.95736809276870294</v>
      </c>
      <c r="F8" s="582">
        <f>AVERAGE(D15:J15,D33:O33)</f>
        <v>0.95781633529188881</v>
      </c>
      <c r="G8" s="583">
        <f>AVERAGE(D15:J15)</f>
        <v>0.95781633529188881</v>
      </c>
      <c r="H8" s="584"/>
      <c r="I8" s="583">
        <f>AVERAGE(K15:M15)</f>
        <v>0.95632219354793546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2610</v>
      </c>
      <c r="N9" s="42"/>
      <c r="O9" s="42"/>
      <c r="P9" s="42"/>
      <c r="Q9" s="42"/>
    </row>
    <row r="10" spans="2:17" ht="30" customHeight="1">
      <c r="B10" s="557" t="s">
        <v>2611</v>
      </c>
      <c r="C10" s="558"/>
      <c r="D10" s="559" t="s">
        <v>2612</v>
      </c>
      <c r="E10" s="560"/>
      <c r="F10" s="560"/>
      <c r="G10" s="560"/>
      <c r="H10" s="560"/>
      <c r="I10" s="560"/>
      <c r="J10" s="561"/>
      <c r="K10" s="562" t="s">
        <v>2613</v>
      </c>
      <c r="L10" s="563"/>
      <c r="M10" s="564"/>
      <c r="P10" s="48"/>
      <c r="Q10" s="48"/>
    </row>
    <row r="11" spans="2:17" ht="17.25" customHeight="1">
      <c r="B11" s="565" t="s">
        <v>2614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2615</v>
      </c>
      <c r="C13" s="55" t="s">
        <v>2616</v>
      </c>
      <c r="D13" s="56">
        <f>SUMIFS('0629 4度C'!$K:$K,'0629 4度C'!$A:$A,"新豐6線",'0629 4度C'!$B:$B,"平均")</f>
        <v>129.03225806451613</v>
      </c>
      <c r="E13" s="57">
        <f>SUMIFS('0629 4度C'!$K:$K,'0629 4度C'!$A:$A,"新豐2線",'0629 4度C'!$B:$B,"平均")</f>
        <v>86.206896551724142</v>
      </c>
      <c r="F13" s="58">
        <f>SUMIFS('0629 4度C'!$K:$K,'0629 4度C'!$A:$A,"新豐5線",'0629 4度C'!$B:$B,"平均")</f>
        <v>87.786259541984734</v>
      </c>
      <c r="G13" s="58">
        <f>SUMIFS('0629 4度C'!$K:$K,'0629 4度C'!$A:$A,"新豐7線",'0629 4度C'!$B:$B,"平均")</f>
        <v>119.99999999999999</v>
      </c>
      <c r="H13" s="58">
        <f>SUMIFS('0629 4度C'!$K:$K,'0629 4度C'!$A:$A,"新豐3線",'0629 4度C'!$B:$B,"平均")</f>
        <v>300</v>
      </c>
      <c r="I13" s="58">
        <f>SUMIFS('0629 4度C'!$K:$K,'0629 4度C'!$A:$A,"新豐1線",'0629 4度C'!$B:$B,"平均")</f>
        <v>119.65811965811965</v>
      </c>
      <c r="J13" s="59">
        <f>SUMIFS('0629 4度C'!$K:$K,'0629 4度C'!$A:$A,"新豐10線",'0629 4度C'!$B:$B,"平均")</f>
        <v>324.32432432432432</v>
      </c>
      <c r="K13" s="60">
        <f>SUMIFS('0629 4度C'!$K:$K,'0629 4度C'!$A:$A,"新豐8線",'0629 4度C'!$B:$B,"平均")</f>
        <v>137.14285714285714</v>
      </c>
      <c r="L13" s="61">
        <f>SUMIFS('0629 4度C'!$K:$K,'0629 4度C'!$A:$A,"新豐9線",'0629 4度C'!$B:$B,"平均")</f>
        <v>120.63492063492065</v>
      </c>
      <c r="M13" s="59">
        <f>SUMIFS('0629 4度C'!$K:$K,'0629 4度C'!$A:$A,"新豐4線",'0629 4度C'!$B:$B,"平均")</f>
        <v>158.49056603773585</v>
      </c>
    </row>
    <row r="14" spans="2:17" ht="39.6" customHeight="1">
      <c r="B14" s="570"/>
      <c r="C14" s="62" t="s">
        <v>2617</v>
      </c>
      <c r="D14" s="63">
        <f>SUMIFS('0629 4度C'!$N:$N,'0629 4度C'!$A:$A,"新豐6線",'0629 4度C'!$B:$B,"平均")</f>
        <v>124.01449493197667</v>
      </c>
      <c r="E14" s="64">
        <f>SUMIFS('0629 4度C'!$N:$N,'0629 4度C'!$A:$A,"新豐2線",'0629 4度C'!$B:$B,"平均")</f>
        <v>82.248168005216797</v>
      </c>
      <c r="F14" s="64">
        <f>SUMIFS('0629 4度C'!$N:$N,'0629 4度C'!$A:$A,"新豐5線",'0629 4度C'!$B:$B,"平均")</f>
        <v>84.377484028541716</v>
      </c>
      <c r="G14" s="64">
        <f>SUMIFS('0629 4度C'!$N:$N,'0629 4度C'!$A:$A,"新豐7線",'0629 4度C'!$B:$B,"平均")</f>
        <v>115.09602177371438</v>
      </c>
      <c r="H14" s="64">
        <f>SUMIFS('0629 4度C'!$N:$N,'0629 4度C'!$A:$A,"新豐3線",'0629 4度C'!$B:$B,"平均")</f>
        <v>286.74086562024479</v>
      </c>
      <c r="I14" s="64">
        <f>SUMIFS('0629 4度C'!$N:$N,'0629 4度C'!$A:$A,"新豐1線",'0629 4度C'!$B:$B,"平均")</f>
        <v>114.60878441817796</v>
      </c>
      <c r="J14" s="65">
        <f>SUMIFS('0629 4度C'!$N:$N,'0629 4度C'!$A:$A,"新豐10線",'0629 4度C'!$B:$B,"平均")</f>
        <v>309.92927920182598</v>
      </c>
      <c r="K14" s="66">
        <f>SUMIFS('0629 4度C'!$N:$N,'0629 4度C'!$A:$A,"新豐8線",'0629 4度C'!$B:$B,"平均")</f>
        <v>131.39031220642528</v>
      </c>
      <c r="L14" s="67">
        <f>SUMIFS('0629 4度C'!$N:$N,'0629 4度C'!$A:$A,"新豐9線",'0629 4度C'!$B:$B,"平均")</f>
        <v>115.36389260877013</v>
      </c>
      <c r="M14" s="65">
        <f>SUMIFS('0629 4度C'!$N:$N,'0629 4度C'!$A:$A,"新豐4線",'0629 4度C'!$B:$B,"平均")</f>
        <v>151.29608790379467</v>
      </c>
    </row>
    <row r="15" spans="2:17" ht="40.15" customHeight="1">
      <c r="B15" s="571"/>
      <c r="C15" s="68" t="s">
        <v>2618</v>
      </c>
      <c r="D15" s="69">
        <f t="shared" ref="D15:M15" si="0">D14/D13</f>
        <v>0.96111233572281918</v>
      </c>
      <c r="E15" s="70">
        <f t="shared" si="0"/>
        <v>0.9540787488605148</v>
      </c>
      <c r="F15" s="70">
        <f t="shared" si="0"/>
        <v>0.96116960067295343</v>
      </c>
      <c r="G15" s="70">
        <f t="shared" si="0"/>
        <v>0.95913351478095332</v>
      </c>
      <c r="H15" s="70">
        <f t="shared" si="0"/>
        <v>0.95580288540081593</v>
      </c>
      <c r="I15" s="70">
        <f t="shared" si="0"/>
        <v>0.95780198406620165</v>
      </c>
      <c r="J15" s="71">
        <f t="shared" si="0"/>
        <v>0.95561527753896347</v>
      </c>
      <c r="K15" s="69">
        <f t="shared" si="0"/>
        <v>0.95805435983851772</v>
      </c>
      <c r="L15" s="70">
        <f t="shared" si="0"/>
        <v>0.9563059518884891</v>
      </c>
      <c r="M15" s="71">
        <f t="shared" si="0"/>
        <v>0.95460626891679978</v>
      </c>
    </row>
    <row r="16" spans="2:17" ht="17.25" customHeight="1">
      <c r="B16" s="572" t="s">
        <v>2619</v>
      </c>
      <c r="C16" s="72" t="s">
        <v>2620</v>
      </c>
      <c r="D16" s="73">
        <f>VLOOKUP("新豐6線",'0629 4度C'!$A:$T,19,0)</f>
        <v>0.70833333333333337</v>
      </c>
      <c r="E16" s="74">
        <f>VLOOKUP("新豐2線",'0629 4度C'!$A:$T,19,0)</f>
        <v>0.125</v>
      </c>
      <c r="F16" s="74">
        <f>VLOOKUP("新豐5線",'0629 4度C'!$A:$T,19,0)</f>
        <v>8.3333333333333329E-2</v>
      </c>
      <c r="G16" s="74">
        <f>VLOOKUP("新豐7線",'0629 4度C'!$A:$T,19,0)</f>
        <v>0.20833333333333334</v>
      </c>
      <c r="H16" s="74">
        <f>VLOOKUP("新豐3線",'0629 4度C'!$A:$T,19,0)</f>
        <v>0.20833333333333334</v>
      </c>
      <c r="I16" s="74">
        <f>VLOOKUP("新豐1線",'0629 4度C'!$A:$T,19,0)</f>
        <v>0.16666666666666666</v>
      </c>
      <c r="J16" s="75">
        <f>VLOOKUP("新豐10線",'0629 4度C'!$A:$T,19,0)</f>
        <v>0.20833333333333334</v>
      </c>
      <c r="K16" s="76">
        <f>VLOOKUP("新豐8線",'0629 4度C'!$A:$T,19,0)</f>
        <v>8.3333333333333329E-2</v>
      </c>
      <c r="L16" s="77">
        <f>VLOOKUP("新豐9線",'0629 4度C'!$A:$T,19,0)</f>
        <v>8.3333333333333329E-2</v>
      </c>
      <c r="M16" s="78">
        <f>VLOOKUP("新豐4線",'0629 4度C'!$A:$T,19,0)</f>
        <v>8.3333333333333329E-2</v>
      </c>
    </row>
    <row r="17" spans="2:13" ht="17.25" customHeight="1">
      <c r="B17" s="573"/>
      <c r="C17" s="72" t="s">
        <v>115</v>
      </c>
      <c r="D17" s="76">
        <f>LOOKUP(2,1/(('0629 4度C'!$A:$A="新豐6線")*('0629 4度C'!$T:$T&lt;&gt;"")),'0629 4度C'!$T:$T)</f>
        <v>0.90208333333333335</v>
      </c>
      <c r="E17" s="74">
        <f>LOOKUP(2,1/(('0629 4度C'!$A:$A="新豐2線")*('0629 4度C'!$T:$T&lt;&gt;"")),'0629 4度C'!$T:$T)</f>
        <v>0.7354166666666665</v>
      </c>
      <c r="F17" s="74">
        <f>LOOKUP(2,1/(('0629 4度C'!$A:$A="新豐5線")*('0629 4度C'!$T:$T&lt;&gt;"")),'0629 4度C'!$T:$T)</f>
        <v>0.81527777777777777</v>
      </c>
      <c r="G17" s="74">
        <f>LOOKUP(2,1/(('0629 4度C'!$A:$A="新豐7線")*('0629 4度C'!$T:$T&lt;&gt;"")),'0629 4度C'!$T:$T)</f>
        <v>0.83611111111111103</v>
      </c>
      <c r="H17" s="74">
        <f>LOOKUP(2,1/(('0629 4度C'!$A:$A="新豐3線")*('0629 4度C'!$T:$T&lt;&gt;"")),'0629 4度C'!$T:$T)</f>
        <v>0.46250000000000002</v>
      </c>
      <c r="I17" s="74">
        <f>LOOKUP(2,1/(('0629 4度C'!$A:$A="新豐1線")*('0629 4度C'!$T:$T&lt;&gt;"")),'0629 4度C'!$T:$T)</f>
        <v>0.84930555555555554</v>
      </c>
      <c r="J17" s="75">
        <f>LOOKUP(2,1/(('0629 4度C'!$A:$A="新豐10線")*('0629 4度C'!$T:$T&lt;&gt;"")),'0629 4度C'!$T:$T)</f>
        <v>0.45624999999999999</v>
      </c>
      <c r="K17" s="73">
        <f>LOOKUP(2,1/(('0629 4度C'!$A:$A="新豐8線")*('0629 4度C'!$T:$T&lt;&gt;"")),'0629 4度C'!$T:$T)</f>
        <v>0.73611111111111094</v>
      </c>
      <c r="L17" s="74">
        <f>LOOKUP(2,1/(('0629 4度C'!$A:$A="新豐9線")*('0629 4度C'!$T:$T&lt;&gt;"")),'0629 4度C'!$T:$T)</f>
        <v>0.69027777777777777</v>
      </c>
      <c r="M17" s="75">
        <f>LOOKUP(2,1/(('0629 4度C'!$A:$A="新豐4線")*('0629 4度C'!$T:$T&lt;&gt;"")),'0629 4度C'!$T:$T)</f>
        <v>0.71249999999999991</v>
      </c>
    </row>
    <row r="18" spans="2:13" ht="17.25" customHeight="1">
      <c r="B18" s="551" t="s">
        <v>2621</v>
      </c>
      <c r="C18" s="79" t="s">
        <v>2622</v>
      </c>
      <c r="D18" s="80">
        <f>SUMIFS('0629 4度C'!$Y:$Y,'0629 4度C'!$A:$A,"新豐6線",'0629 4度C'!$B:$B,"平均")</f>
        <v>0</v>
      </c>
      <c r="E18" s="81">
        <f>SUMIFS('0629 4度C'!$Y:$Y,'0629 4度C'!$A:$A,"新豐2線",'0629 4度C'!$B:$B,"平均")</f>
        <v>0</v>
      </c>
      <c r="F18" s="81">
        <f>SUMIFS('0629 4度C'!$Y:$Y,'0629 4度C'!$A:$A,"新豐5線",'0629 4度C'!$B:$B,"平均")</f>
        <v>0</v>
      </c>
      <c r="G18" s="81">
        <f>SUMIFS('0629 4度C'!$Y:$Y,'0629 4度C'!$A:$A,"新豐7線",'0629 4度C'!$B:$B,"平均")</f>
        <v>0</v>
      </c>
      <c r="H18" s="81">
        <f>SUMIFS('0629 4度C'!$Y:$Y,'0629 4度C'!$A:$A,"新豐3線",'0629 4度C'!$B:$B,"平均")</f>
        <v>0</v>
      </c>
      <c r="I18" s="81">
        <f>SUMIFS('0629 4度C'!$Y:$Y,'0629 4度C'!$A:$A,"新豐1線",'0629 4度C'!$B:$B,"平均")</f>
        <v>0</v>
      </c>
      <c r="J18" s="82">
        <f>SUMIFS('0629 4度C'!$Y:$Y,'0629 4度C'!$A:$A,"新豐10線",'0629 4度C'!$B:$B,"平均")</f>
        <v>0</v>
      </c>
      <c r="K18" s="83">
        <f>SUMIFS('0629 4度C'!$Y:$Y,'0629 4度C'!$A:$A,"新豐8線",'0629 4度C'!$B:$B,"平均")</f>
        <v>0</v>
      </c>
      <c r="L18" s="81">
        <f>SUMIFS('0629 4度C'!$Y:$Y,'0629 4度C'!$A:$A,"新豐9線",'0629 4度C'!$B:$B,"平均")</f>
        <v>0</v>
      </c>
      <c r="M18" s="82">
        <f>SUMIFS('0629 4度C'!$Y:$Y,'0629 4度C'!$A:$A,"新豐4線",'0629 4度C'!$B:$B,"平均")</f>
        <v>0</v>
      </c>
    </row>
    <row r="19" spans="2:13" ht="17.25" customHeight="1">
      <c r="B19" s="552"/>
      <c r="C19" s="79" t="s">
        <v>2623</v>
      </c>
      <c r="D19" s="80">
        <f>SUMIFS('0629 4度C'!$Z:$Z,'0629 4度C'!$A:$A,"新豐6線",'0629 4度C'!$B:$B,"平均")</f>
        <v>0</v>
      </c>
      <c r="E19" s="81">
        <f>SUMIFS('0629 4度C'!$Z:$Z,'0629 4度C'!$A:$A,"新豐2線",'0629 4度C'!$B:$B,"平均")</f>
        <v>0</v>
      </c>
      <c r="F19" s="81">
        <f>SUMIFS('0629 4度C'!$Z:$Z,'0629 4度C'!$A:$A,"新豐5線",'0629 4度C'!$B:$B,"平均")</f>
        <v>0</v>
      </c>
      <c r="G19" s="81">
        <f>SUMIFS('0629 4度C'!$Z:$Z,'0629 4度C'!$A:$A,"新豐7線",'0629 4度C'!$B:$B,"平均")</f>
        <v>0</v>
      </c>
      <c r="H19" s="81">
        <f>SUMIFS('0629 4度C'!$Z:$Z,'0629 4度C'!$A:$A,"新豐3線",'0629 4度C'!$B:$B,"平均")</f>
        <v>0</v>
      </c>
      <c r="I19" s="81">
        <f>SUMIFS('0629 4度C'!$Z:$Z,'0629 4度C'!$A:$A,"新豐1線",'0629 4度C'!$B:$B,"平均")</f>
        <v>0</v>
      </c>
      <c r="J19" s="82">
        <f>SUMIFS('0629 4度C'!$Z:$Z,'0629 4度C'!$A:$A,"新豐10線",'0629 4度C'!$B:$B,"平均")</f>
        <v>0</v>
      </c>
      <c r="K19" s="83">
        <f>SUMIFS('0629 4度C'!$Z:$Z,'0629 4度C'!$A:$A,"新豐8線",'0629 4度C'!$B:$B,"平均")</f>
        <v>0</v>
      </c>
      <c r="L19" s="81">
        <f>SUMIFS('0629 4度C'!$Z:$Z,'0629 4度C'!$A:$A,"新豐9線",'0629 4度C'!$B:$B,"平均")</f>
        <v>0</v>
      </c>
      <c r="M19" s="82">
        <f>SUMIFS('0629 4度C'!$Z:$Z,'0629 4度C'!$A:$A,"新豐4線",'0629 4度C'!$B:$B,"平均")</f>
        <v>0</v>
      </c>
    </row>
    <row r="20" spans="2:13" ht="17.25" customHeight="1">
      <c r="B20" s="551" t="s">
        <v>2624</v>
      </c>
      <c r="C20" s="79" t="s">
        <v>2625</v>
      </c>
      <c r="D20" s="80">
        <f>SUMIFS('0629 4度C'!$AC:$AC,'0629 4度C'!$A:$A,"新豐6線",'0629 4度C'!$B:$B,"平均")</f>
        <v>4</v>
      </c>
      <c r="E20" s="81">
        <f>SUMIFS('0629 4度C'!$AC:$AC,'0629 4度C'!$A:$A,"新豐2線",'0629 4度C'!$B:$B,"平均")</f>
        <v>5</v>
      </c>
      <c r="F20" s="81">
        <f>SUMIFS('0629 4度C'!$AC:$AC,'0629 4度C'!$A:$A,"新豐5線",'0629 4度C'!$B:$B,"平均")</f>
        <v>7</v>
      </c>
      <c r="G20" s="81">
        <f>SUMIFS('0629 4度C'!$AC:$AC,'0629 4度C'!$A:$A,"新豐7線",'0629 4度C'!$B:$B,"平均")</f>
        <v>6</v>
      </c>
      <c r="H20" s="81">
        <f>SUMIFS('0629 4度C'!$AC:$AC,'0629 4度C'!$A:$A,"新豐3線",'0629 4度C'!$B:$B,"平均")</f>
        <v>3</v>
      </c>
      <c r="I20" s="81">
        <f>SUMIFS('0629 4度C'!$AC:$AC,'0629 4度C'!$A:$A,"新豐1線",'0629 4度C'!$B:$B,"平均")</f>
        <v>7</v>
      </c>
      <c r="J20" s="82">
        <f>SUMIFS('0629 4度C'!$AC:$AC,'0629 4度C'!$A:$A,"新豐10線",'0629 4度C'!$B:$B,"平均")</f>
        <v>4</v>
      </c>
      <c r="K20" s="83">
        <f>SUMIFS('0629 4度C'!$AC:$AC,'0629 4度C'!$A:$A,"新豐8線",'0629 4度C'!$B:$B,"平均")</f>
        <v>8</v>
      </c>
      <c r="L20" s="81">
        <f>SUMIFS('0629 4度C'!$AC:$AC,'0629 4度C'!$A:$A,"新豐9線",'0629 4度C'!$B:$B,"平均")</f>
        <v>7</v>
      </c>
      <c r="M20" s="82">
        <f>SUMIFS('0629 4度C'!$AC:$AC,'0629 4度C'!$A:$A,"新豐4線",'0629 4度C'!$B:$B,"平均")</f>
        <v>7</v>
      </c>
    </row>
    <row r="21" spans="2:13" ht="17.25" customHeight="1">
      <c r="B21" s="552"/>
      <c r="C21" s="79" t="s">
        <v>2626</v>
      </c>
      <c r="D21" s="80">
        <f>SUMIFS('0629 4度C'!$AD:$AD,'0629 4度C'!$A:$A,"新豐6線",'0629 4度C'!$B:$B,"平均")</f>
        <v>0</v>
      </c>
      <c r="E21" s="81">
        <f>SUMIFS('0629 4度C'!$AD:$AD,'0629 4度C'!$A:$A,"新豐2線",'0629 4度C'!$B:$B,"平均")</f>
        <v>0</v>
      </c>
      <c r="F21" s="81">
        <f>SUMIFS('0629 4度C'!$AD:$AD,'0629 4度C'!$A:$A,"新豐5線",'0629 4度C'!$B:$B,"平均")</f>
        <v>0</v>
      </c>
      <c r="G21" s="81">
        <f>SUMIFS('0629 4度C'!$AD:$AD,'0629 4度C'!$A:$A,"新豐7線",'0629 4度C'!$B:$B,"平均")</f>
        <v>0</v>
      </c>
      <c r="H21" s="81">
        <f>SUMIFS('0629 4度C'!$AD:$AD,'0629 4度C'!$A:$A,"新豐3線",'0629 4度C'!$B:$B,"平均")</f>
        <v>0</v>
      </c>
      <c r="I21" s="81">
        <f>SUMIFS('0629 4度C'!$AD:$AD,'0629 4度C'!$A:$A,"新豐1線",'0629 4度C'!$B:$B,"平均")</f>
        <v>0</v>
      </c>
      <c r="J21" s="82">
        <f>SUMIFS('0629 4度C'!$AD:$AD,'0629 4度C'!$A:$A,"新豐10線",'0629 4度C'!$B:$B,"平均")</f>
        <v>0</v>
      </c>
      <c r="K21" s="83">
        <f>SUMIFS('0629 4度C'!$AD:$AD,'0629 4度C'!$A:$A,"新豐8線",'0629 4度C'!$B:$B,"平均")</f>
        <v>0</v>
      </c>
      <c r="L21" s="81">
        <f>SUMIFS('0629 4度C'!$AD:$AD,'0629 4度C'!$A:$A,"新豐9線",'0629 4度C'!$B:$B,"平均")</f>
        <v>0</v>
      </c>
      <c r="M21" s="82">
        <f>SUMIFS('0629 4度C'!$AD:$AD,'0629 4度C'!$A:$A,"新豐4線",'0629 4度C'!$B:$B,"平均")</f>
        <v>0</v>
      </c>
    </row>
    <row r="22" spans="2:13" ht="17.25" customHeight="1">
      <c r="B22" s="553" t="s">
        <v>121</v>
      </c>
      <c r="C22" s="554"/>
      <c r="D22" s="84">
        <f>SUMIFS('0629 4度C'!$I:$I,'0629 4度C'!$A:$A,"新豐6線",'0629 4度C'!$B:$B,"平均")</f>
        <v>15.5</v>
      </c>
      <c r="E22" s="85">
        <f>SUMIFS('0629 4度C'!$I:$I,'0629 4度C'!$A:$A,"新豐2線",'0629 4度C'!$B:$B,"平均")</f>
        <v>17.399999999999999</v>
      </c>
      <c r="F22" s="85">
        <f>SUMIFS('0629 4度C'!$I:$I,'0629 4度C'!$A:$A,"新豐5線",'0629 4度C'!$B:$B,"平均")</f>
        <v>18.714285714285715</v>
      </c>
      <c r="G22" s="85">
        <f>SUMIFS('0629 4度C'!$I:$I,'0629 4度C'!$A:$A,"新豐7線",'0629 4度C'!$B:$B,"平均")</f>
        <v>16.666666666666668</v>
      </c>
      <c r="H22" s="85">
        <f>SUMIFS('0629 4度C'!$I:$I,'0629 4度C'!$A:$A,"新豐3線",'0629 4度C'!$B:$B,"平均")</f>
        <v>10</v>
      </c>
      <c r="I22" s="85">
        <f>SUMIFS('0629 4度C'!$I:$I,'0629 4度C'!$A:$A,"新豐1線",'0629 4度C'!$B:$B,"平均")</f>
        <v>16.714285714285715</v>
      </c>
      <c r="J22" s="86">
        <f>SUMIFS('0629 4度C'!$I:$I,'0629 4度C'!$A:$A,"新豐10線",'0629 4度C'!$B:$B,"平均")</f>
        <v>9.25</v>
      </c>
      <c r="K22" s="84">
        <f>SUMIFS('0629 4度C'!$I:$I,'0629 4度C'!$A:$A,"新豐8線",'0629 4度C'!$B:$B,"平均")</f>
        <v>17.5</v>
      </c>
      <c r="L22" s="85">
        <f>SUMIFS('0629 4度C'!$I:$I,'0629 4度C'!$A:$A,"新豐9線",'0629 4度C'!$B:$B,"平均")</f>
        <v>18</v>
      </c>
      <c r="M22" s="86">
        <f>SUMIFS('0629 4度C'!$I:$I,'0629 4度C'!$A:$A,"新豐4線",'0629 4度C'!$B:$B,"平均")</f>
        <v>15.142857142857142</v>
      </c>
    </row>
    <row r="23" spans="2:13" ht="17.25" customHeight="1">
      <c r="B23" s="553" t="s">
        <v>2627</v>
      </c>
      <c r="C23" s="554"/>
      <c r="D23" s="87" t="s">
        <v>71</v>
      </c>
      <c r="E23" s="88" t="s">
        <v>72</v>
      </c>
      <c r="F23" s="88" t="s">
        <v>2628</v>
      </c>
      <c r="G23" s="88" t="s">
        <v>2629</v>
      </c>
      <c r="H23" s="88" t="s">
        <v>73</v>
      </c>
      <c r="I23" s="88" t="s">
        <v>71</v>
      </c>
      <c r="J23" s="89" t="s">
        <v>73</v>
      </c>
      <c r="K23" s="87" t="s">
        <v>2630</v>
      </c>
      <c r="L23" s="88" t="s">
        <v>2630</v>
      </c>
      <c r="M23" s="89" t="s">
        <v>2630</v>
      </c>
    </row>
    <row r="24" spans="2:13" ht="17.25" customHeight="1">
      <c r="B24" s="553" t="s">
        <v>2631</v>
      </c>
      <c r="C24" s="554"/>
      <c r="D24" s="87"/>
      <c r="E24" s="88"/>
      <c r="F24" s="88" t="s">
        <v>2632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2633</v>
      </c>
      <c r="C25" s="556"/>
      <c r="D25" s="90"/>
      <c r="E25" s="91" t="s">
        <v>2634</v>
      </c>
      <c r="F25" s="549" t="s">
        <v>2635</v>
      </c>
      <c r="G25" s="550"/>
      <c r="H25" s="91" t="s">
        <v>2636</v>
      </c>
      <c r="I25" s="91" t="s">
        <v>2637</v>
      </c>
      <c r="J25" s="92" t="s">
        <v>2638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4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A11" sqref="A11"/>
      <selection pane="bottomLeft" activeCell="A11" sqref="A11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132</v>
      </c>
      <c r="B1" s="1"/>
      <c r="C1" s="2" t="s">
        <v>133</v>
      </c>
      <c r="D1" s="3">
        <f>SUM(F5:F72)</f>
        <v>196622</v>
      </c>
      <c r="E1" s="526" t="s">
        <v>2639</v>
      </c>
      <c r="F1" s="1">
        <f>SUM(G5:G72)</f>
        <v>6758725.1100000031</v>
      </c>
      <c r="G1" s="1" t="s">
        <v>135</v>
      </c>
      <c r="H1" s="4">
        <f>L9+L15+L51+L59+L23+L64+L39+L47+L30+L72</f>
        <v>154.88809523809522</v>
      </c>
      <c r="I1" s="663" t="s">
        <v>2640</v>
      </c>
      <c r="J1" s="663"/>
      <c r="K1" s="663"/>
      <c r="L1" s="663" t="s">
        <v>2641</v>
      </c>
      <c r="M1" s="663"/>
      <c r="N1" s="663"/>
      <c r="O1" s="663" t="s">
        <v>2642</v>
      </c>
      <c r="P1" s="663"/>
      <c r="Q1" s="663"/>
      <c r="R1" s="663"/>
      <c r="S1" s="663" t="s">
        <v>518</v>
      </c>
      <c r="T1" s="663"/>
      <c r="U1" s="663"/>
      <c r="V1" s="663"/>
      <c r="W1" s="663"/>
      <c r="X1" s="663"/>
      <c r="Y1" s="5" t="s">
        <v>2643</v>
      </c>
      <c r="Z1" s="6" t="s">
        <v>2644</v>
      </c>
      <c r="AA1" s="664" t="s">
        <v>2645</v>
      </c>
      <c r="AB1" s="664"/>
      <c r="AC1" s="188" t="s">
        <v>2646</v>
      </c>
      <c r="AD1" s="6" t="s">
        <v>2647</v>
      </c>
      <c r="AE1" s="663" t="s">
        <v>2648</v>
      </c>
      <c r="AF1" s="665"/>
      <c r="AG1" s="665"/>
    </row>
    <row r="2" spans="1:33" ht="26.25" customHeight="1">
      <c r="A2" s="27">
        <v>46202</v>
      </c>
      <c r="B2" s="28" t="s">
        <v>75</v>
      </c>
      <c r="C2" s="2" t="s">
        <v>2615</v>
      </c>
      <c r="D2" s="8">
        <f>AVERAGE(N9,N15,N51,N59,N23,N64,N30,N39,N47,N72)</f>
        <v>151.50653906986884</v>
      </c>
      <c r="E2" s="9" t="s">
        <v>0</v>
      </c>
      <c r="F2" s="10">
        <f>F1/D1</f>
        <v>34.374205887438855</v>
      </c>
      <c r="G2" s="1" t="s">
        <v>2649</v>
      </c>
      <c r="H2" s="530">
        <f>COUNT(H5:H72)</f>
        <v>10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SUM(Y9+Y15+Y23+Y30+Y39+Y47+Y51+Y59+Y64+Y72)</f>
        <v>0</v>
      </c>
      <c r="Z2" s="11">
        <f>SUM(Z9+Z15+Z23+Z30+Z39+Z47+Z51+Z59+Z64+Z72)</f>
        <v>0</v>
      </c>
      <c r="AA2" s="664"/>
      <c r="AB2" s="664"/>
      <c r="AC2" s="11">
        <v>58</v>
      </c>
      <c r="AD2" s="11">
        <f>SUM(AD9+AD15+AD23+AD30+AD39+AD47+AD51+AD59+AD64+AD72)</f>
        <v>0</v>
      </c>
      <c r="AE2" s="665"/>
      <c r="AF2" s="665"/>
      <c r="AG2" s="665"/>
    </row>
    <row r="3" spans="1:33" ht="40.5" customHeight="1">
      <c r="A3" s="617" t="s">
        <v>2650</v>
      </c>
      <c r="B3" s="617" t="s">
        <v>148</v>
      </c>
      <c r="C3" s="617" t="s">
        <v>149</v>
      </c>
      <c r="D3" s="617"/>
      <c r="E3" s="661" t="s">
        <v>2651</v>
      </c>
      <c r="F3" s="617" t="s">
        <v>2652</v>
      </c>
      <c r="G3" s="661" t="s">
        <v>152</v>
      </c>
      <c r="H3" s="654" t="s">
        <v>2653</v>
      </c>
      <c r="I3" s="652" t="s">
        <v>2654</v>
      </c>
      <c r="J3" s="649" t="s">
        <v>2655</v>
      </c>
      <c r="K3" s="659" t="s">
        <v>2656</v>
      </c>
      <c r="L3" s="652" t="s">
        <v>154</v>
      </c>
      <c r="M3" s="649" t="s">
        <v>155</v>
      </c>
      <c r="N3" s="659" t="s">
        <v>2615</v>
      </c>
      <c r="O3" s="652" t="s">
        <v>154</v>
      </c>
      <c r="P3" s="659" t="s">
        <v>2615</v>
      </c>
      <c r="Q3" s="650" t="s">
        <v>2657</v>
      </c>
      <c r="R3" s="630" t="s">
        <v>2658</v>
      </c>
      <c r="S3" s="660" t="s">
        <v>1</v>
      </c>
      <c r="T3" s="660"/>
      <c r="U3" s="654" t="s">
        <v>2</v>
      </c>
      <c r="V3" s="654" t="s">
        <v>2659</v>
      </c>
      <c r="W3" s="617" t="s">
        <v>2660</v>
      </c>
      <c r="X3" s="617"/>
      <c r="Y3" s="655" t="s">
        <v>2661</v>
      </c>
      <c r="Z3" s="614"/>
      <c r="AA3" s="656" t="s">
        <v>2662</v>
      </c>
      <c r="AB3" s="657"/>
      <c r="AC3" s="655" t="s">
        <v>2663</v>
      </c>
      <c r="AD3" s="614"/>
      <c r="AE3" s="649" t="s">
        <v>2664</v>
      </c>
      <c r="AF3" s="650" t="s">
        <v>2665</v>
      </c>
      <c r="AG3" s="630" t="s">
        <v>2666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531" t="s">
        <v>3</v>
      </c>
      <c r="T4" s="531" t="s">
        <v>4</v>
      </c>
      <c r="U4" s="654"/>
      <c r="V4" s="654"/>
      <c r="W4" s="526" t="s">
        <v>2667</v>
      </c>
      <c r="X4" s="526" t="s">
        <v>167</v>
      </c>
      <c r="Y4" s="524" t="s">
        <v>2668</v>
      </c>
      <c r="Z4" s="524" t="s">
        <v>2669</v>
      </c>
      <c r="AA4" s="658"/>
      <c r="AB4" s="657"/>
      <c r="AC4" s="524" t="s">
        <v>2670</v>
      </c>
      <c r="AD4" s="524" t="s">
        <v>2671</v>
      </c>
      <c r="AE4" s="649"/>
      <c r="AF4" s="650"/>
      <c r="AG4" s="630"/>
    </row>
    <row r="5" spans="1:33">
      <c r="A5" s="651" t="s">
        <v>2672</v>
      </c>
      <c r="B5" s="29" t="s">
        <v>15</v>
      </c>
      <c r="C5" s="653" t="s">
        <v>17</v>
      </c>
      <c r="D5" s="653"/>
      <c r="E5" s="29">
        <v>50.67</v>
      </c>
      <c r="F5" s="531">
        <v>1532</v>
      </c>
      <c r="G5" s="526">
        <f t="shared" ref="G5:G8" si="0">E5*F5</f>
        <v>77626.44</v>
      </c>
      <c r="H5" s="33" t="s">
        <v>57</v>
      </c>
      <c r="I5" s="528">
        <v>15</v>
      </c>
      <c r="J5" s="31">
        <v>2000</v>
      </c>
      <c r="K5" s="12">
        <f t="shared" ref="K5:K68" si="1">J5/I5</f>
        <v>133.33333333333334</v>
      </c>
      <c r="L5" s="528">
        <v>15</v>
      </c>
      <c r="M5" s="13">
        <f t="shared" ref="M5:M8" si="2">F5/V5*60</f>
        <v>1915.0000000000005</v>
      </c>
      <c r="N5" s="12">
        <f t="shared" ref="N5:N68" si="3">M5/L5</f>
        <v>127.6666666666667</v>
      </c>
      <c r="O5" s="14">
        <f t="shared" ref="O5:O68" si="4">L5-I5</f>
        <v>0</v>
      </c>
      <c r="P5" s="15">
        <f t="shared" ref="P5:P68" si="5">N5-K5</f>
        <v>-5.666666666666643</v>
      </c>
      <c r="Q5" s="525">
        <f t="shared" ref="Q5:Q68" si="6">N5/K5</f>
        <v>0.95750000000000013</v>
      </c>
      <c r="R5" s="615">
        <f>Q9</f>
        <v>0.96111233572281918</v>
      </c>
      <c r="S5" s="34">
        <v>0.70833333333333337</v>
      </c>
      <c r="T5" s="34">
        <v>0.7416666666666667</v>
      </c>
      <c r="U5" s="526"/>
      <c r="V5" s="529">
        <f t="shared" ref="V5:V8" si="7">(T5-S5)*24*60</f>
        <v>47.999999999999986</v>
      </c>
      <c r="W5" s="16"/>
      <c r="X5" s="17"/>
      <c r="Y5" s="17"/>
      <c r="Z5" s="17"/>
      <c r="AA5" s="617"/>
      <c r="AB5" s="617"/>
      <c r="AC5" s="18">
        <v>4</v>
      </c>
      <c r="AD5" s="18"/>
      <c r="AE5" s="14">
        <f t="shared" ref="AE5:AE58" si="8">M5-J5</f>
        <v>-84.999999999999545</v>
      </c>
      <c r="AF5" s="525">
        <f t="shared" ref="AF5:AF68" si="9">M5/J5</f>
        <v>0.95750000000000024</v>
      </c>
      <c r="AG5" s="615">
        <f>AF9</f>
        <v>0.96111233572281929</v>
      </c>
    </row>
    <row r="6" spans="1:33">
      <c r="A6" s="652" t="s">
        <v>2673</v>
      </c>
      <c r="B6" s="29" t="s">
        <v>15</v>
      </c>
      <c r="C6" s="653" t="s">
        <v>26</v>
      </c>
      <c r="D6" s="653"/>
      <c r="E6" s="29">
        <v>50.92</v>
      </c>
      <c r="F6" s="531">
        <v>2585</v>
      </c>
      <c r="G6" s="526">
        <f t="shared" si="0"/>
        <v>131628.20000000001</v>
      </c>
      <c r="H6" s="33" t="s">
        <v>57</v>
      </c>
      <c r="I6" s="528">
        <v>15</v>
      </c>
      <c r="J6" s="31">
        <v>2000</v>
      </c>
      <c r="K6" s="12">
        <f t="shared" si="1"/>
        <v>133.33333333333334</v>
      </c>
      <c r="L6" s="528">
        <v>15</v>
      </c>
      <c r="M6" s="13">
        <f t="shared" si="2"/>
        <v>1914.8148148148141</v>
      </c>
      <c r="N6" s="12">
        <f t="shared" si="3"/>
        <v>127.65432098765427</v>
      </c>
      <c r="O6" s="14">
        <f t="shared" si="4"/>
        <v>0</v>
      </c>
      <c r="P6" s="15">
        <f t="shared" si="5"/>
        <v>-5.6790123456790695</v>
      </c>
      <c r="Q6" s="525">
        <f t="shared" si="6"/>
        <v>0.95740740740740693</v>
      </c>
      <c r="R6" s="615"/>
      <c r="S6" s="34">
        <v>0.74513888888888891</v>
      </c>
      <c r="T6" s="34">
        <v>0.80138888888888893</v>
      </c>
      <c r="U6" s="526">
        <f t="shared" ref="U6:U8" si="10">IF(S6=TIME(17,0,0),"",(S6-T5)*24*60)</f>
        <v>4.9999999999999822</v>
      </c>
      <c r="V6" s="529">
        <f t="shared" si="7"/>
        <v>81.000000000000028</v>
      </c>
      <c r="W6" s="16"/>
      <c r="X6" s="16"/>
      <c r="Y6" s="16"/>
      <c r="Z6" s="16"/>
      <c r="AA6" s="617"/>
      <c r="AB6" s="617"/>
      <c r="AC6" s="18"/>
      <c r="AD6" s="18"/>
      <c r="AE6" s="14">
        <f t="shared" si="8"/>
        <v>-85.185185185185901</v>
      </c>
      <c r="AF6" s="525">
        <f t="shared" si="9"/>
        <v>0.95740740740740704</v>
      </c>
      <c r="AG6" s="615"/>
    </row>
    <row r="7" spans="1:33">
      <c r="A7" s="652" t="s">
        <v>2673</v>
      </c>
      <c r="B7" s="29" t="s">
        <v>15</v>
      </c>
      <c r="C7" s="644" t="s">
        <v>31</v>
      </c>
      <c r="D7" s="645"/>
      <c r="E7" s="29">
        <v>50.98</v>
      </c>
      <c r="F7" s="531">
        <v>1000</v>
      </c>
      <c r="G7" s="526">
        <f t="shared" si="0"/>
        <v>50980</v>
      </c>
      <c r="H7" s="33">
        <v>2</v>
      </c>
      <c r="I7" s="528">
        <v>16</v>
      </c>
      <c r="J7" s="31">
        <v>2000</v>
      </c>
      <c r="K7" s="12">
        <f t="shared" si="1"/>
        <v>125</v>
      </c>
      <c r="L7" s="528">
        <v>16</v>
      </c>
      <c r="M7" s="13">
        <f t="shared" si="2"/>
        <v>1935.483870967739</v>
      </c>
      <c r="N7" s="12">
        <f t="shared" si="3"/>
        <v>120.96774193548369</v>
      </c>
      <c r="O7" s="14">
        <f t="shared" si="4"/>
        <v>0</v>
      </c>
      <c r="P7" s="15">
        <f t="shared" si="5"/>
        <v>-4.0322580645163129</v>
      </c>
      <c r="Q7" s="525">
        <f t="shared" si="6"/>
        <v>0.96774193548386944</v>
      </c>
      <c r="R7" s="615"/>
      <c r="S7" s="34">
        <v>0.80625000000000002</v>
      </c>
      <c r="T7" s="34">
        <v>0.82777777777777783</v>
      </c>
      <c r="U7" s="526">
        <f t="shared" si="10"/>
        <v>6.9999999999999751</v>
      </c>
      <c r="V7" s="529">
        <f t="shared" si="7"/>
        <v>31.00000000000005</v>
      </c>
      <c r="W7" s="16">
        <f>T7</f>
        <v>0.82777777777777783</v>
      </c>
      <c r="X7" s="16">
        <f>S8</f>
        <v>0.86736111111111114</v>
      </c>
      <c r="Y7" s="19"/>
      <c r="Z7" s="19"/>
      <c r="AA7" s="624"/>
      <c r="AB7" s="625"/>
      <c r="AC7" s="20"/>
      <c r="AD7" s="20"/>
      <c r="AE7" s="14">
        <f t="shared" si="8"/>
        <v>-64.516129032261006</v>
      </c>
      <c r="AF7" s="525">
        <f t="shared" si="9"/>
        <v>0.96774193548386944</v>
      </c>
      <c r="AG7" s="615"/>
    </row>
    <row r="8" spans="1:33">
      <c r="A8" s="652" t="s">
        <v>2673</v>
      </c>
      <c r="B8" s="29" t="s">
        <v>15</v>
      </c>
      <c r="C8" s="644" t="s">
        <v>31</v>
      </c>
      <c r="D8" s="645"/>
      <c r="E8" s="29">
        <v>50.98</v>
      </c>
      <c r="F8" s="531">
        <v>1603</v>
      </c>
      <c r="G8" s="526">
        <f t="shared" si="0"/>
        <v>81720.939999999988</v>
      </c>
      <c r="H8" s="33" t="s">
        <v>57</v>
      </c>
      <c r="I8" s="528">
        <v>16</v>
      </c>
      <c r="J8" s="31">
        <v>2000</v>
      </c>
      <c r="K8" s="12">
        <f t="shared" si="1"/>
        <v>125</v>
      </c>
      <c r="L8" s="528">
        <v>16</v>
      </c>
      <c r="M8" s="13">
        <f t="shared" si="2"/>
        <v>1923.6000000000006</v>
      </c>
      <c r="N8" s="12">
        <f t="shared" si="3"/>
        <v>120.22500000000004</v>
      </c>
      <c r="O8" s="14">
        <f t="shared" si="4"/>
        <v>0</v>
      </c>
      <c r="P8" s="15">
        <f t="shared" si="5"/>
        <v>-4.7749999999999631</v>
      </c>
      <c r="Q8" s="525">
        <f t="shared" si="6"/>
        <v>0.96180000000000032</v>
      </c>
      <c r="R8" s="615"/>
      <c r="S8" s="34">
        <v>0.86736111111111114</v>
      </c>
      <c r="T8" s="34">
        <v>0.90208333333333335</v>
      </c>
      <c r="U8" s="526">
        <f t="shared" si="10"/>
        <v>56.999999999999957</v>
      </c>
      <c r="V8" s="529">
        <f t="shared" si="7"/>
        <v>49.999999999999986</v>
      </c>
      <c r="W8" s="21"/>
      <c r="X8" s="21"/>
      <c r="Y8" s="22"/>
      <c r="Z8" s="22"/>
      <c r="AA8" s="624"/>
      <c r="AB8" s="625"/>
      <c r="AC8" s="20"/>
      <c r="AD8" s="20"/>
      <c r="AE8" s="14">
        <f t="shared" si="8"/>
        <v>-76.399999999999409</v>
      </c>
      <c r="AF8" s="525">
        <f t="shared" si="9"/>
        <v>0.96180000000000032</v>
      </c>
      <c r="AG8" s="615"/>
    </row>
    <row r="9" spans="1:33">
      <c r="A9" s="652" t="s">
        <v>2674</v>
      </c>
      <c r="B9" s="29" t="s">
        <v>2675</v>
      </c>
      <c r="C9" s="618"/>
      <c r="D9" s="618"/>
      <c r="E9" s="527"/>
      <c r="F9" s="30"/>
      <c r="G9" s="12"/>
      <c r="H9" s="531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1922.2246714456385</v>
      </c>
      <c r="N9" s="12">
        <f t="shared" si="3"/>
        <v>124.01449493197667</v>
      </c>
      <c r="O9" s="14">
        <f t="shared" si="4"/>
        <v>0</v>
      </c>
      <c r="P9" s="15">
        <f t="shared" si="5"/>
        <v>-5.0177631325394572</v>
      </c>
      <c r="Q9" s="525">
        <f t="shared" si="6"/>
        <v>0.96111233572281918</v>
      </c>
      <c r="R9" s="615"/>
      <c r="S9" s="34"/>
      <c r="T9" s="34"/>
      <c r="U9" s="526"/>
      <c r="V9" s="529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-77.775328554361522</v>
      </c>
      <c r="AF9" s="525">
        <f t="shared" si="9"/>
        <v>0.96111233572281929</v>
      </c>
      <c r="AG9" s="615"/>
    </row>
    <row r="10" spans="1:33" ht="15.75" customHeight="1">
      <c r="A10" s="648" t="s">
        <v>7</v>
      </c>
      <c r="B10" s="29" t="s">
        <v>19</v>
      </c>
      <c r="C10" s="644" t="s">
        <v>20</v>
      </c>
      <c r="D10" s="645"/>
      <c r="E10" s="29">
        <v>39.619999999999997</v>
      </c>
      <c r="F10" s="531">
        <v>3100</v>
      </c>
      <c r="G10" s="526">
        <f t="shared" ref="G10:G14" si="11">E10*F10</f>
        <v>122821.99999999999</v>
      </c>
      <c r="H10" s="33">
        <v>2</v>
      </c>
      <c r="I10" s="528">
        <v>19</v>
      </c>
      <c r="J10" s="31">
        <v>1500</v>
      </c>
      <c r="K10" s="12">
        <f t="shared" si="1"/>
        <v>78.94736842105263</v>
      </c>
      <c r="L10" s="528">
        <v>19</v>
      </c>
      <c r="M10" s="13">
        <f t="shared" ref="M10:M14" si="12">F10/V10*60</f>
        <v>1430.7692307692305</v>
      </c>
      <c r="N10" s="12">
        <f t="shared" si="3"/>
        <v>75.303643724696343</v>
      </c>
      <c r="O10" s="14">
        <f t="shared" si="4"/>
        <v>0</v>
      </c>
      <c r="P10" s="15">
        <f t="shared" si="5"/>
        <v>-3.643724696356287</v>
      </c>
      <c r="Q10" s="525">
        <f t="shared" si="6"/>
        <v>0.95384615384615368</v>
      </c>
      <c r="R10" s="615">
        <f>Q15</f>
        <v>0.9540787488605148</v>
      </c>
      <c r="S10" s="34">
        <v>0.125</v>
      </c>
      <c r="T10" s="34">
        <v>0.21527777777777779</v>
      </c>
      <c r="U10" s="526"/>
      <c r="V10" s="529">
        <f t="shared" ref="V10:V14" si="13">(T10-S10)*24*60</f>
        <v>130.00000000000003</v>
      </c>
      <c r="W10" s="16">
        <f>T10</f>
        <v>0.21527777777777779</v>
      </c>
      <c r="X10" s="16">
        <f>S11</f>
        <v>0.23263888888888887</v>
      </c>
      <c r="Y10" s="16"/>
      <c r="Z10" s="16"/>
      <c r="AA10" s="617"/>
      <c r="AB10" s="617"/>
      <c r="AC10" s="18">
        <v>5</v>
      </c>
      <c r="AD10" s="18"/>
      <c r="AE10" s="14">
        <f t="shared" si="8"/>
        <v>-69.230769230769511</v>
      </c>
      <c r="AF10" s="525">
        <f t="shared" si="9"/>
        <v>0.95384615384615368</v>
      </c>
      <c r="AG10" s="615">
        <f>AF15</f>
        <v>0.9540787488605148</v>
      </c>
    </row>
    <row r="11" spans="1:33" ht="15.75" customHeight="1">
      <c r="A11" s="648" t="s">
        <v>2676</v>
      </c>
      <c r="B11" s="29" t="s">
        <v>19</v>
      </c>
      <c r="C11" s="644" t="s">
        <v>83</v>
      </c>
      <c r="D11" s="645"/>
      <c r="E11" s="29">
        <v>39.46</v>
      </c>
      <c r="F11" s="531">
        <v>4832</v>
      </c>
      <c r="G11" s="526">
        <f t="shared" si="11"/>
        <v>190670.72</v>
      </c>
      <c r="H11" s="33" t="s">
        <v>57</v>
      </c>
      <c r="I11" s="528">
        <v>15</v>
      </c>
      <c r="J11" s="31">
        <v>1500</v>
      </c>
      <c r="K11" s="12">
        <f t="shared" si="1"/>
        <v>100</v>
      </c>
      <c r="L11" s="528">
        <v>15</v>
      </c>
      <c r="M11" s="13">
        <f t="shared" si="12"/>
        <v>1428.1773399014776</v>
      </c>
      <c r="N11" s="12">
        <f t="shared" si="3"/>
        <v>95.211822660098505</v>
      </c>
      <c r="O11" s="14">
        <f t="shared" si="4"/>
        <v>0</v>
      </c>
      <c r="P11" s="15">
        <f t="shared" si="5"/>
        <v>-4.7881773399014946</v>
      </c>
      <c r="Q11" s="525">
        <f t="shared" si="6"/>
        <v>0.95211822660098511</v>
      </c>
      <c r="R11" s="615"/>
      <c r="S11" s="34">
        <v>0.23263888888888887</v>
      </c>
      <c r="T11" s="34">
        <v>0.37361111111111112</v>
      </c>
      <c r="U11" s="526">
        <f t="shared" ref="U11:U14" si="14">IF(S11=TIME(17,0,0),"",(S11-T10)*24*60)</f>
        <v>24.99999999999995</v>
      </c>
      <c r="V11" s="529">
        <f t="shared" si="13"/>
        <v>203.00000000000003</v>
      </c>
      <c r="W11" s="16"/>
      <c r="X11" s="16"/>
      <c r="Y11" s="16"/>
      <c r="Z11" s="16"/>
      <c r="AA11" s="617"/>
      <c r="AB11" s="617"/>
      <c r="AC11" s="18"/>
      <c r="AD11" s="18"/>
      <c r="AE11" s="14">
        <f t="shared" si="8"/>
        <v>-71.82266009852242</v>
      </c>
      <c r="AF11" s="525">
        <f t="shared" si="9"/>
        <v>0.95211822660098511</v>
      </c>
      <c r="AG11" s="615"/>
    </row>
    <row r="12" spans="1:33" ht="15.75" customHeight="1">
      <c r="A12" s="648" t="s">
        <v>2676</v>
      </c>
      <c r="B12" s="29" t="s">
        <v>19</v>
      </c>
      <c r="C12" s="644" t="s">
        <v>21</v>
      </c>
      <c r="D12" s="645"/>
      <c r="E12" s="29">
        <v>39.799999999999997</v>
      </c>
      <c r="F12" s="531">
        <v>4700</v>
      </c>
      <c r="G12" s="526">
        <f t="shared" si="11"/>
        <v>187060</v>
      </c>
      <c r="H12" s="33">
        <v>2</v>
      </c>
      <c r="I12" s="528">
        <v>17</v>
      </c>
      <c r="J12" s="31">
        <v>1500</v>
      </c>
      <c r="K12" s="12">
        <f t="shared" si="1"/>
        <v>88.235294117647058</v>
      </c>
      <c r="L12" s="528">
        <v>17</v>
      </c>
      <c r="M12" s="13">
        <f t="shared" si="12"/>
        <v>1431.4720812182745</v>
      </c>
      <c r="N12" s="12">
        <f t="shared" si="3"/>
        <v>84.204240071663207</v>
      </c>
      <c r="O12" s="14">
        <f t="shared" si="4"/>
        <v>0</v>
      </c>
      <c r="P12" s="15">
        <f t="shared" si="5"/>
        <v>-4.0310540459838506</v>
      </c>
      <c r="Q12" s="525">
        <f t="shared" si="6"/>
        <v>0.95431472081218305</v>
      </c>
      <c r="R12" s="615"/>
      <c r="S12" s="34">
        <v>0.37777777777777777</v>
      </c>
      <c r="T12" s="34">
        <v>0.51458333333333328</v>
      </c>
      <c r="U12" s="526">
        <f t="shared" si="14"/>
        <v>5.9999999999999787</v>
      </c>
      <c r="V12" s="529">
        <f t="shared" si="13"/>
        <v>196.99999999999994</v>
      </c>
      <c r="W12" s="16">
        <f>T12</f>
        <v>0.51458333333333328</v>
      </c>
      <c r="X12" s="16">
        <f>S13</f>
        <v>0.55486111111111103</v>
      </c>
      <c r="Y12" s="16"/>
      <c r="Z12" s="16"/>
      <c r="AA12" s="617"/>
      <c r="AB12" s="617"/>
      <c r="AC12" s="18"/>
      <c r="AD12" s="18"/>
      <c r="AE12" s="14">
        <f t="shared" si="8"/>
        <v>-68.527918781725475</v>
      </c>
      <c r="AF12" s="525">
        <f t="shared" si="9"/>
        <v>0.95431472081218305</v>
      </c>
      <c r="AG12" s="615"/>
    </row>
    <row r="13" spans="1:33" ht="15.75" customHeight="1">
      <c r="A13" s="648" t="s">
        <v>2677</v>
      </c>
      <c r="B13" s="29" t="s">
        <v>19</v>
      </c>
      <c r="C13" s="644" t="s">
        <v>21</v>
      </c>
      <c r="D13" s="645"/>
      <c r="E13" s="29">
        <v>39.799999999999997</v>
      </c>
      <c r="F13" s="531">
        <v>3630</v>
      </c>
      <c r="G13" s="526">
        <f t="shared" si="11"/>
        <v>144474</v>
      </c>
      <c r="H13" s="33" t="s">
        <v>57</v>
      </c>
      <c r="I13" s="528">
        <v>17</v>
      </c>
      <c r="J13" s="31">
        <v>1500</v>
      </c>
      <c r="K13" s="12">
        <f t="shared" si="1"/>
        <v>88.235294117647058</v>
      </c>
      <c r="L13" s="528">
        <v>17</v>
      </c>
      <c r="M13" s="13">
        <f t="shared" si="12"/>
        <v>1432.8947368421057</v>
      </c>
      <c r="N13" s="12">
        <f t="shared" si="3"/>
        <v>84.287925696594456</v>
      </c>
      <c r="O13" s="14">
        <f t="shared" si="4"/>
        <v>0</v>
      </c>
      <c r="P13" s="15">
        <f t="shared" si="5"/>
        <v>-3.9473684210526017</v>
      </c>
      <c r="Q13" s="525">
        <f t="shared" si="6"/>
        <v>0.95526315789473715</v>
      </c>
      <c r="R13" s="615"/>
      <c r="S13" s="34">
        <v>0.55486111111111103</v>
      </c>
      <c r="T13" s="34">
        <v>0.66041666666666654</v>
      </c>
      <c r="U13" s="526">
        <f t="shared" si="14"/>
        <v>57.999999999999957</v>
      </c>
      <c r="V13" s="529">
        <f t="shared" si="13"/>
        <v>151.99999999999994</v>
      </c>
      <c r="W13" s="16"/>
      <c r="X13" s="16"/>
      <c r="Y13" s="16"/>
      <c r="Z13" s="16"/>
      <c r="AA13" s="624"/>
      <c r="AB13" s="625"/>
      <c r="AC13" s="18"/>
      <c r="AD13" s="18"/>
      <c r="AE13" s="14">
        <f t="shared" si="8"/>
        <v>-67.105263157894342</v>
      </c>
      <c r="AF13" s="525">
        <f t="shared" si="9"/>
        <v>0.95526315789473715</v>
      </c>
      <c r="AG13" s="615"/>
    </row>
    <row r="14" spans="1:33" ht="15.75" customHeight="1">
      <c r="A14" s="648" t="s">
        <v>2676</v>
      </c>
      <c r="B14" s="29" t="s">
        <v>19</v>
      </c>
      <c r="C14" s="644" t="s">
        <v>20</v>
      </c>
      <c r="D14" s="645"/>
      <c r="E14" s="29">
        <v>39.619999999999997</v>
      </c>
      <c r="F14" s="531">
        <v>2411</v>
      </c>
      <c r="G14" s="526">
        <f t="shared" si="11"/>
        <v>95523.819999999992</v>
      </c>
      <c r="H14" s="33" t="s">
        <v>57</v>
      </c>
      <c r="I14" s="528">
        <v>19</v>
      </c>
      <c r="J14" s="31">
        <v>1500</v>
      </c>
      <c r="K14" s="12">
        <f t="shared" si="1"/>
        <v>78.94736842105263</v>
      </c>
      <c r="L14" s="528">
        <v>19</v>
      </c>
      <c r="M14" s="13">
        <f t="shared" si="12"/>
        <v>1432.277227722773</v>
      </c>
      <c r="N14" s="12">
        <f t="shared" si="3"/>
        <v>75.383011985409098</v>
      </c>
      <c r="O14" s="14">
        <f t="shared" si="4"/>
        <v>0</v>
      </c>
      <c r="P14" s="15">
        <f t="shared" si="5"/>
        <v>-3.564356435643532</v>
      </c>
      <c r="Q14" s="525">
        <f t="shared" si="6"/>
        <v>0.95485148514851526</v>
      </c>
      <c r="R14" s="615"/>
      <c r="S14" s="34">
        <v>0.66527777777777763</v>
      </c>
      <c r="T14" s="34">
        <v>0.7354166666666665</v>
      </c>
      <c r="U14" s="526">
        <f t="shared" si="14"/>
        <v>6.9999999999999751</v>
      </c>
      <c r="V14" s="529">
        <f t="shared" si="13"/>
        <v>100.99999999999996</v>
      </c>
      <c r="W14" s="16"/>
      <c r="X14" s="16"/>
      <c r="Y14" s="19"/>
      <c r="Z14" s="19"/>
      <c r="AA14" s="624"/>
      <c r="AB14" s="625"/>
      <c r="AC14" s="18"/>
      <c r="AD14" s="18"/>
      <c r="AE14" s="14">
        <f t="shared" si="8"/>
        <v>-67.722772277227023</v>
      </c>
      <c r="AF14" s="525">
        <f t="shared" si="9"/>
        <v>0.95485148514851537</v>
      </c>
      <c r="AG14" s="615"/>
    </row>
    <row r="15" spans="1:33" ht="16.5" customHeight="1">
      <c r="A15" s="648" t="s">
        <v>2677</v>
      </c>
      <c r="B15" s="29" t="s">
        <v>2675</v>
      </c>
      <c r="C15" s="618"/>
      <c r="D15" s="618"/>
      <c r="E15" s="527"/>
      <c r="F15" s="31"/>
      <c r="G15" s="13"/>
      <c r="H15" s="531"/>
      <c r="I15" s="23">
        <v>17.399999999999999</v>
      </c>
      <c r="J15" s="31">
        <v>1500</v>
      </c>
      <c r="K15" s="12">
        <f t="shared" si="1"/>
        <v>86.206896551724142</v>
      </c>
      <c r="L15" s="23">
        <v>17.399999999999999</v>
      </c>
      <c r="M15" s="13">
        <f>AVERAGE(M10:M14)</f>
        <v>1431.1181232907722</v>
      </c>
      <c r="N15" s="12">
        <f t="shared" si="3"/>
        <v>82.248168005216797</v>
      </c>
      <c r="O15" s="14">
        <f t="shared" si="4"/>
        <v>0</v>
      </c>
      <c r="P15" s="15">
        <f t="shared" si="5"/>
        <v>-3.958728546507345</v>
      </c>
      <c r="Q15" s="525">
        <f t="shared" si="6"/>
        <v>0.9540787488605148</v>
      </c>
      <c r="R15" s="615"/>
      <c r="S15" s="34"/>
      <c r="T15" s="34"/>
      <c r="U15" s="12"/>
      <c r="V15" s="529"/>
      <c r="W15" s="12"/>
      <c r="X15" s="12"/>
      <c r="Y15" s="24">
        <f>SUM(Y10:Y14)</f>
        <v>0</v>
      </c>
      <c r="Z15" s="24">
        <f>SUM(Z10:Z14)</f>
        <v>0</v>
      </c>
      <c r="AA15" s="614"/>
      <c r="AB15" s="614"/>
      <c r="AC15" s="24">
        <v>5</v>
      </c>
      <c r="AD15" s="24">
        <f>SUM(AD10:AD14)</f>
        <v>0</v>
      </c>
      <c r="AE15" s="14">
        <f t="shared" si="8"/>
        <v>-68.881876709227754</v>
      </c>
      <c r="AF15" s="525">
        <f t="shared" si="9"/>
        <v>0.9540787488605148</v>
      </c>
      <c r="AG15" s="615"/>
    </row>
    <row r="16" spans="1:33" ht="16.5" customHeight="1">
      <c r="A16" s="646" t="s">
        <v>2678</v>
      </c>
      <c r="B16" s="531" t="s">
        <v>22</v>
      </c>
      <c r="C16" s="640" t="s">
        <v>87</v>
      </c>
      <c r="D16" s="640"/>
      <c r="E16" s="29">
        <v>38.619999999999997</v>
      </c>
      <c r="F16" s="531">
        <v>2819</v>
      </c>
      <c r="G16" s="526">
        <f t="shared" ref="G16:G22" si="15">E16*F16</f>
        <v>108869.78</v>
      </c>
      <c r="H16" s="33" t="s">
        <v>57</v>
      </c>
      <c r="I16" s="528">
        <v>24</v>
      </c>
      <c r="J16" s="31">
        <v>1500</v>
      </c>
      <c r="K16" s="12">
        <f t="shared" si="1"/>
        <v>62.5</v>
      </c>
      <c r="L16" s="528">
        <v>24</v>
      </c>
      <c r="M16" s="13">
        <f t="shared" ref="M16:M22" si="16">F16/V16*60</f>
        <v>1433.3898305084747</v>
      </c>
      <c r="N16" s="12">
        <f t="shared" si="3"/>
        <v>59.724576271186443</v>
      </c>
      <c r="O16" s="14">
        <f t="shared" si="4"/>
        <v>0</v>
      </c>
      <c r="P16" s="15">
        <f t="shared" si="5"/>
        <v>-2.775423728813557</v>
      </c>
      <c r="Q16" s="525">
        <f t="shared" si="6"/>
        <v>0.95559322033898308</v>
      </c>
      <c r="R16" s="615">
        <f>Q23</f>
        <v>0.96116960067295343</v>
      </c>
      <c r="S16" s="34">
        <v>8.3333333333333329E-2</v>
      </c>
      <c r="T16" s="34">
        <v>0.16527777777777777</v>
      </c>
      <c r="U16" s="526"/>
      <c r="V16" s="529">
        <f t="shared" ref="V16:V22" si="17">(T16-S16)*24*60</f>
        <v>118</v>
      </c>
      <c r="W16" s="16">
        <f>T16</f>
        <v>0.16527777777777777</v>
      </c>
      <c r="X16" s="16">
        <f>S17</f>
        <v>0.1847222222222222</v>
      </c>
      <c r="Y16" s="21"/>
      <c r="Z16" s="21"/>
      <c r="AA16" s="617"/>
      <c r="AB16" s="617"/>
      <c r="AC16" s="18">
        <v>7</v>
      </c>
      <c r="AD16" s="18"/>
      <c r="AE16" s="14">
        <f t="shared" si="8"/>
        <v>-66.610169491525312</v>
      </c>
      <c r="AF16" s="525">
        <f t="shared" si="9"/>
        <v>0.95559322033898308</v>
      </c>
      <c r="AG16" s="615">
        <f>AF23</f>
        <v>0.96116960067295343</v>
      </c>
    </row>
    <row r="17" spans="1:33" ht="16.5" customHeight="1">
      <c r="A17" s="647" t="s">
        <v>8</v>
      </c>
      <c r="B17" s="531" t="s">
        <v>22</v>
      </c>
      <c r="C17" s="640" t="s">
        <v>23</v>
      </c>
      <c r="D17" s="640"/>
      <c r="E17" s="29">
        <v>41</v>
      </c>
      <c r="F17" s="531">
        <v>2332</v>
      </c>
      <c r="G17" s="526">
        <f t="shared" si="15"/>
        <v>95612</v>
      </c>
      <c r="H17" s="33" t="s">
        <v>57</v>
      </c>
      <c r="I17" s="528">
        <v>26</v>
      </c>
      <c r="J17" s="31">
        <v>1500</v>
      </c>
      <c r="K17" s="12">
        <f t="shared" si="1"/>
        <v>57.692307692307693</v>
      </c>
      <c r="L17" s="528">
        <v>26</v>
      </c>
      <c r="M17" s="13">
        <f t="shared" si="16"/>
        <v>1442.4742268041234</v>
      </c>
      <c r="N17" s="12">
        <f t="shared" si="3"/>
        <v>55.479777954004746</v>
      </c>
      <c r="O17" s="14">
        <f t="shared" si="4"/>
        <v>0</v>
      </c>
      <c r="P17" s="15">
        <f t="shared" si="5"/>
        <v>-2.2125297383029476</v>
      </c>
      <c r="Q17" s="525">
        <f t="shared" si="6"/>
        <v>0.96164948453608223</v>
      </c>
      <c r="R17" s="615"/>
      <c r="S17" s="34">
        <v>0.1847222222222222</v>
      </c>
      <c r="T17" s="34">
        <v>0.25208333333333333</v>
      </c>
      <c r="U17" s="526">
        <f t="shared" ref="U17:U22" si="18">IF(S17=TIME(17,0,0),"",(S17-T16)*24*60)</f>
        <v>27.999999999999979</v>
      </c>
      <c r="V17" s="529">
        <f t="shared" si="17"/>
        <v>97.000000000000014</v>
      </c>
      <c r="W17" s="16"/>
      <c r="X17" s="16"/>
      <c r="Y17" s="16"/>
      <c r="Z17" s="16"/>
      <c r="AA17" s="617"/>
      <c r="AB17" s="617"/>
      <c r="AC17" s="18"/>
      <c r="AD17" s="18"/>
      <c r="AE17" s="14">
        <f t="shared" si="8"/>
        <v>-57.525773195876582</v>
      </c>
      <c r="AF17" s="525">
        <f t="shared" si="9"/>
        <v>0.96164948453608223</v>
      </c>
      <c r="AG17" s="615"/>
    </row>
    <row r="18" spans="1:33" ht="16.5" customHeight="1">
      <c r="A18" s="647" t="s">
        <v>2679</v>
      </c>
      <c r="B18" s="531" t="s">
        <v>15</v>
      </c>
      <c r="C18" s="640" t="s">
        <v>86</v>
      </c>
      <c r="D18" s="640"/>
      <c r="E18" s="29">
        <v>37.03</v>
      </c>
      <c r="F18" s="531">
        <v>3900</v>
      </c>
      <c r="G18" s="526">
        <f t="shared" si="15"/>
        <v>144417</v>
      </c>
      <c r="H18" s="33" t="s">
        <v>57</v>
      </c>
      <c r="I18" s="528">
        <v>13</v>
      </c>
      <c r="J18" s="31">
        <v>1500</v>
      </c>
      <c r="K18" s="12">
        <f t="shared" si="1"/>
        <v>115.38461538461539</v>
      </c>
      <c r="L18" s="528">
        <v>13</v>
      </c>
      <c r="M18" s="13">
        <f t="shared" si="16"/>
        <v>1435.5828220858898</v>
      </c>
      <c r="N18" s="12">
        <f t="shared" si="3"/>
        <v>110.42944785276076</v>
      </c>
      <c r="O18" s="14">
        <f t="shared" si="4"/>
        <v>0</v>
      </c>
      <c r="P18" s="15">
        <f t="shared" si="5"/>
        <v>-4.9551675318546273</v>
      </c>
      <c r="Q18" s="525">
        <f t="shared" si="6"/>
        <v>0.95705521472392652</v>
      </c>
      <c r="R18" s="615"/>
      <c r="S18" s="34">
        <v>0.25555555555555554</v>
      </c>
      <c r="T18" s="34">
        <v>0.36874999999999997</v>
      </c>
      <c r="U18" s="526">
        <f t="shared" si="18"/>
        <v>4.9999999999999822</v>
      </c>
      <c r="V18" s="529">
        <f t="shared" si="17"/>
        <v>162.99999999999997</v>
      </c>
      <c r="W18" s="16"/>
      <c r="X18" s="16"/>
      <c r="Y18" s="16"/>
      <c r="Z18" s="16"/>
      <c r="AA18" s="617"/>
      <c r="AB18" s="617"/>
      <c r="AC18" s="18"/>
      <c r="AD18" s="18"/>
      <c r="AE18" s="14">
        <f t="shared" si="8"/>
        <v>-64.417177914110198</v>
      </c>
      <c r="AF18" s="525">
        <f t="shared" si="9"/>
        <v>0.95705521472392652</v>
      </c>
      <c r="AG18" s="615"/>
    </row>
    <row r="19" spans="1:33" ht="16.5" customHeight="1">
      <c r="A19" s="647" t="s">
        <v>2679</v>
      </c>
      <c r="B19" s="531" t="s">
        <v>19</v>
      </c>
      <c r="C19" s="640" t="s">
        <v>267</v>
      </c>
      <c r="D19" s="640"/>
      <c r="E19" s="29">
        <v>39.520000000000003</v>
      </c>
      <c r="F19" s="531">
        <v>3802</v>
      </c>
      <c r="G19" s="526">
        <f t="shared" si="15"/>
        <v>150255.04000000001</v>
      </c>
      <c r="H19" s="33" t="s">
        <v>57</v>
      </c>
      <c r="I19" s="528">
        <v>19</v>
      </c>
      <c r="J19" s="31">
        <v>1500</v>
      </c>
      <c r="K19" s="12">
        <f t="shared" si="1"/>
        <v>78.94736842105263</v>
      </c>
      <c r="L19" s="528">
        <v>19</v>
      </c>
      <c r="M19" s="13">
        <f t="shared" si="16"/>
        <v>1434.7169811320755</v>
      </c>
      <c r="N19" s="12">
        <f t="shared" si="3"/>
        <v>75.511420059582917</v>
      </c>
      <c r="O19" s="14">
        <f t="shared" si="4"/>
        <v>0</v>
      </c>
      <c r="P19" s="15">
        <f t="shared" si="5"/>
        <v>-3.4359483614697126</v>
      </c>
      <c r="Q19" s="525">
        <f t="shared" si="6"/>
        <v>0.95647798742138368</v>
      </c>
      <c r="R19" s="615"/>
      <c r="S19" s="34">
        <v>0.37222222222222218</v>
      </c>
      <c r="T19" s="34">
        <v>0.48263888888888884</v>
      </c>
      <c r="U19" s="526">
        <f t="shared" si="18"/>
        <v>4.9999999999999822</v>
      </c>
      <c r="V19" s="529">
        <f t="shared" si="17"/>
        <v>159</v>
      </c>
      <c r="W19" s="16"/>
      <c r="X19" s="16"/>
      <c r="Y19" s="16"/>
      <c r="Z19" s="16"/>
      <c r="AA19" s="617"/>
      <c r="AB19" s="617"/>
      <c r="AC19" s="18"/>
      <c r="AD19" s="18"/>
      <c r="AE19" s="14">
        <f t="shared" si="8"/>
        <v>-65.283018867924511</v>
      </c>
      <c r="AF19" s="525">
        <f t="shared" si="9"/>
        <v>0.95647798742138368</v>
      </c>
      <c r="AG19" s="615"/>
    </row>
    <row r="20" spans="1:33" ht="16.5" customHeight="1">
      <c r="A20" s="647" t="s">
        <v>2679</v>
      </c>
      <c r="B20" s="531" t="s">
        <v>15</v>
      </c>
      <c r="C20" s="640" t="s">
        <v>25</v>
      </c>
      <c r="D20" s="640"/>
      <c r="E20" s="29">
        <v>53.68</v>
      </c>
      <c r="F20" s="531">
        <v>1134</v>
      </c>
      <c r="G20" s="526">
        <f t="shared" si="15"/>
        <v>60873.120000000003</v>
      </c>
      <c r="H20" s="33" t="s">
        <v>57</v>
      </c>
      <c r="I20" s="528">
        <v>16</v>
      </c>
      <c r="J20" s="31">
        <v>1500</v>
      </c>
      <c r="K20" s="12">
        <f t="shared" si="1"/>
        <v>93.75</v>
      </c>
      <c r="L20" s="528">
        <v>16</v>
      </c>
      <c r="M20" s="13">
        <f t="shared" si="16"/>
        <v>1447.6595744680853</v>
      </c>
      <c r="N20" s="12">
        <f t="shared" si="3"/>
        <v>90.478723404255334</v>
      </c>
      <c r="O20" s="14">
        <f t="shared" si="4"/>
        <v>0</v>
      </c>
      <c r="P20" s="15">
        <f t="shared" si="5"/>
        <v>-3.2712765957446663</v>
      </c>
      <c r="Q20" s="525">
        <f t="shared" si="6"/>
        <v>0.96510638297872353</v>
      </c>
      <c r="R20" s="615"/>
      <c r="S20" s="34">
        <v>0.70833333333333337</v>
      </c>
      <c r="T20" s="34">
        <v>0.74097222222222225</v>
      </c>
      <c r="U20" s="526" t="str">
        <f t="shared" si="18"/>
        <v/>
      </c>
      <c r="V20" s="529">
        <f t="shared" si="17"/>
        <v>46.999999999999993</v>
      </c>
      <c r="W20" s="16"/>
      <c r="X20" s="16"/>
      <c r="Y20" s="16"/>
      <c r="Z20" s="16"/>
      <c r="AA20" s="617"/>
      <c r="AB20" s="617"/>
      <c r="AC20" s="18"/>
      <c r="AD20" s="18"/>
      <c r="AE20" s="14">
        <f t="shared" si="8"/>
        <v>-52.340425531914661</v>
      </c>
      <c r="AF20" s="525">
        <f t="shared" si="9"/>
        <v>0.96510638297872353</v>
      </c>
      <c r="AG20" s="615"/>
    </row>
    <row r="21" spans="1:33" ht="16.5" customHeight="1">
      <c r="A21" s="647" t="s">
        <v>2679</v>
      </c>
      <c r="B21" s="531" t="s">
        <v>15</v>
      </c>
      <c r="C21" s="532" t="s">
        <v>18</v>
      </c>
      <c r="D21" s="533"/>
      <c r="E21" s="29">
        <v>52.86</v>
      </c>
      <c r="F21" s="531">
        <v>1323</v>
      </c>
      <c r="G21" s="526">
        <f t="shared" si="15"/>
        <v>69933.78</v>
      </c>
      <c r="H21" s="33" t="s">
        <v>57</v>
      </c>
      <c r="I21" s="528">
        <v>16</v>
      </c>
      <c r="J21" s="31">
        <v>2000</v>
      </c>
      <c r="K21" s="12">
        <f t="shared" si="1"/>
        <v>125</v>
      </c>
      <c r="L21" s="528">
        <v>16</v>
      </c>
      <c r="M21" s="13">
        <f t="shared" si="16"/>
        <v>1936.0975609756092</v>
      </c>
      <c r="N21" s="12">
        <f t="shared" si="3"/>
        <v>121.00609756097558</v>
      </c>
      <c r="O21" s="14">
        <f t="shared" si="4"/>
        <v>0</v>
      </c>
      <c r="P21" s="15">
        <f t="shared" si="5"/>
        <v>-3.9939024390244242</v>
      </c>
      <c r="Q21" s="525">
        <f t="shared" si="6"/>
        <v>0.96804878048780463</v>
      </c>
      <c r="R21" s="615"/>
      <c r="S21" s="34">
        <v>0.74652777777777779</v>
      </c>
      <c r="T21" s="34">
        <v>0.77500000000000002</v>
      </c>
      <c r="U21" s="526">
        <f t="shared" si="18"/>
        <v>7.9999999999999716</v>
      </c>
      <c r="V21" s="529">
        <f t="shared" si="17"/>
        <v>41.000000000000014</v>
      </c>
      <c r="W21" s="16"/>
      <c r="X21" s="16"/>
      <c r="Y21" s="19"/>
      <c r="Z21" s="19"/>
      <c r="AA21" s="521"/>
      <c r="AB21" s="522"/>
      <c r="AC21" s="18"/>
      <c r="AD21" s="18"/>
      <c r="AE21" s="14">
        <f t="shared" si="8"/>
        <v>-63.902439024390787</v>
      </c>
      <c r="AF21" s="525">
        <f t="shared" si="9"/>
        <v>0.96804878048780463</v>
      </c>
      <c r="AG21" s="615"/>
    </row>
    <row r="22" spans="1:33" ht="16.5" customHeight="1">
      <c r="A22" s="647" t="s">
        <v>2680</v>
      </c>
      <c r="B22" s="531" t="s">
        <v>15</v>
      </c>
      <c r="C22" s="532" t="s">
        <v>16</v>
      </c>
      <c r="D22" s="533"/>
      <c r="E22" s="29">
        <v>50.67</v>
      </c>
      <c r="F22" s="531">
        <v>1635</v>
      </c>
      <c r="G22" s="526">
        <f t="shared" si="15"/>
        <v>82845.45</v>
      </c>
      <c r="H22" s="33" t="s">
        <v>57</v>
      </c>
      <c r="I22" s="528">
        <v>17</v>
      </c>
      <c r="J22" s="31">
        <v>2000</v>
      </c>
      <c r="K22" s="12">
        <f t="shared" si="1"/>
        <v>117.64705882352941</v>
      </c>
      <c r="L22" s="528">
        <v>17</v>
      </c>
      <c r="M22" s="13">
        <f t="shared" si="16"/>
        <v>1923.5294117647065</v>
      </c>
      <c r="N22" s="12">
        <f t="shared" si="3"/>
        <v>113.14878892733567</v>
      </c>
      <c r="O22" s="14">
        <f t="shared" si="4"/>
        <v>0</v>
      </c>
      <c r="P22" s="15">
        <f t="shared" si="5"/>
        <v>-4.4982698961937331</v>
      </c>
      <c r="Q22" s="525">
        <f t="shared" si="6"/>
        <v>0.9617647058823533</v>
      </c>
      <c r="R22" s="615"/>
      <c r="S22" s="34">
        <v>0.77986111111111112</v>
      </c>
      <c r="T22" s="34">
        <v>0.81527777777777777</v>
      </c>
      <c r="U22" s="526">
        <f t="shared" si="18"/>
        <v>6.9999999999999751</v>
      </c>
      <c r="V22" s="529">
        <f t="shared" si="17"/>
        <v>50.999999999999979</v>
      </c>
      <c r="W22" s="16"/>
      <c r="X22" s="16"/>
      <c r="Y22" s="19"/>
      <c r="Z22" s="19"/>
      <c r="AA22" s="521"/>
      <c r="AB22" s="522"/>
      <c r="AC22" s="18"/>
      <c r="AD22" s="18"/>
      <c r="AE22" s="14">
        <f t="shared" si="8"/>
        <v>-76.470588235293462</v>
      </c>
      <c r="AF22" s="525">
        <f t="shared" si="9"/>
        <v>0.9617647058823533</v>
      </c>
      <c r="AG22" s="615"/>
    </row>
    <row r="23" spans="1:33" ht="16.5" customHeight="1">
      <c r="A23" s="647" t="s">
        <v>8</v>
      </c>
      <c r="B23" s="29" t="s">
        <v>2681</v>
      </c>
      <c r="C23" s="618"/>
      <c r="D23" s="618"/>
      <c r="E23" s="527"/>
      <c r="F23" s="30"/>
      <c r="G23" s="12"/>
      <c r="H23" s="531"/>
      <c r="I23" s="23">
        <v>18.714285714285715</v>
      </c>
      <c r="J23" s="31">
        <v>1642.8571428571429</v>
      </c>
      <c r="K23" s="12">
        <f t="shared" si="1"/>
        <v>87.786259541984734</v>
      </c>
      <c r="L23" s="23">
        <v>18.714285714285715</v>
      </c>
      <c r="M23" s="13">
        <f>AVERAGE(M16:M22)</f>
        <v>1579.0643439627092</v>
      </c>
      <c r="N23" s="12">
        <f t="shared" si="3"/>
        <v>84.377484028541716</v>
      </c>
      <c r="O23" s="14">
        <f t="shared" si="4"/>
        <v>0</v>
      </c>
      <c r="P23" s="15">
        <f t="shared" si="5"/>
        <v>-3.4087755134430182</v>
      </c>
      <c r="Q23" s="525">
        <f t="shared" si="6"/>
        <v>0.96116960067295343</v>
      </c>
      <c r="R23" s="615"/>
      <c r="S23" s="34"/>
      <c r="T23" s="34"/>
      <c r="U23" s="526"/>
      <c r="V23" s="529"/>
      <c r="W23" s="12"/>
      <c r="X23" s="12"/>
      <c r="Y23" s="24">
        <f>SUM(Y16:Y22)</f>
        <v>0</v>
      </c>
      <c r="Z23" s="24">
        <f>SUM(Z16:Z22)</f>
        <v>0</v>
      </c>
      <c r="AA23" s="614"/>
      <c r="AB23" s="614"/>
      <c r="AC23" s="24">
        <v>7</v>
      </c>
      <c r="AD23" s="24">
        <f>SUM(AD16:AD22)</f>
        <v>0</v>
      </c>
      <c r="AE23" s="14">
        <f t="shared" si="8"/>
        <v>-63.792798894433645</v>
      </c>
      <c r="AF23" s="525">
        <f t="shared" si="9"/>
        <v>0.96116960067295343</v>
      </c>
      <c r="AG23" s="615"/>
    </row>
    <row r="24" spans="1:33" ht="15.75" customHeight="1">
      <c r="A24" s="642" t="s">
        <v>2682</v>
      </c>
      <c r="B24" s="29" t="s">
        <v>15</v>
      </c>
      <c r="C24" s="640" t="s">
        <v>28</v>
      </c>
      <c r="D24" s="640"/>
      <c r="E24" s="29">
        <v>50.67</v>
      </c>
      <c r="F24" s="531">
        <v>2396</v>
      </c>
      <c r="G24" s="526">
        <f t="shared" ref="G24:G29" si="19">E24*F24</f>
        <v>121405.32</v>
      </c>
      <c r="H24" s="33" t="s">
        <v>57</v>
      </c>
      <c r="I24" s="528">
        <v>17</v>
      </c>
      <c r="J24" s="31">
        <v>2000</v>
      </c>
      <c r="K24" s="12">
        <f t="shared" si="1"/>
        <v>117.64705882352941</v>
      </c>
      <c r="L24" s="528">
        <v>17</v>
      </c>
      <c r="M24" s="13">
        <f t="shared" ref="M24:M29" si="20">F24/V24*60</f>
        <v>1916.7999999999997</v>
      </c>
      <c r="N24" s="12">
        <f t="shared" si="3"/>
        <v>112.75294117647057</v>
      </c>
      <c r="O24" s="14">
        <f t="shared" si="4"/>
        <v>0</v>
      </c>
      <c r="P24" s="15">
        <f t="shared" si="5"/>
        <v>-4.8941176470588346</v>
      </c>
      <c r="Q24" s="525">
        <f t="shared" si="6"/>
        <v>0.95839999999999992</v>
      </c>
      <c r="R24" s="615">
        <f>Q30</f>
        <v>0.95913351478095332</v>
      </c>
      <c r="S24" s="34">
        <v>0.20833333333333334</v>
      </c>
      <c r="T24" s="34">
        <v>0.26041666666666669</v>
      </c>
      <c r="U24" s="526"/>
      <c r="V24" s="529">
        <f t="shared" ref="V24:V29" si="21">(T24-S24)*24*60</f>
        <v>75.000000000000014</v>
      </c>
      <c r="W24" s="21"/>
      <c r="X24" s="21"/>
      <c r="Y24" s="21"/>
      <c r="Z24" s="21"/>
      <c r="AA24" s="617"/>
      <c r="AB24" s="617"/>
      <c r="AC24" s="18">
        <v>6</v>
      </c>
      <c r="AD24" s="18"/>
      <c r="AE24" s="14">
        <f t="shared" si="8"/>
        <v>-83.200000000000273</v>
      </c>
      <c r="AF24" s="525">
        <f t="shared" si="9"/>
        <v>0.95839999999999992</v>
      </c>
      <c r="AG24" s="615">
        <f>AF30</f>
        <v>0.95913351478095332</v>
      </c>
    </row>
    <row r="25" spans="1:33" ht="15.75" customHeight="1">
      <c r="A25" s="643" t="s">
        <v>2683</v>
      </c>
      <c r="B25" s="29" t="s">
        <v>15</v>
      </c>
      <c r="C25" s="640" t="s">
        <v>29</v>
      </c>
      <c r="D25" s="640"/>
      <c r="E25" s="29">
        <v>57.73</v>
      </c>
      <c r="F25" s="531">
        <v>2975</v>
      </c>
      <c r="G25" s="526">
        <f t="shared" si="19"/>
        <v>171746.75</v>
      </c>
      <c r="H25" s="33" t="s">
        <v>57</v>
      </c>
      <c r="I25" s="528">
        <v>14</v>
      </c>
      <c r="J25" s="31">
        <v>2000</v>
      </c>
      <c r="K25" s="12">
        <f t="shared" si="1"/>
        <v>142.85714285714286</v>
      </c>
      <c r="L25" s="528">
        <v>14</v>
      </c>
      <c r="M25" s="13">
        <f t="shared" si="20"/>
        <v>1919.3548387096778</v>
      </c>
      <c r="N25" s="12">
        <f t="shared" si="3"/>
        <v>137.09677419354841</v>
      </c>
      <c r="O25" s="14">
        <f t="shared" si="4"/>
        <v>0</v>
      </c>
      <c r="P25" s="15">
        <f t="shared" si="5"/>
        <v>-5.7603686635944484</v>
      </c>
      <c r="Q25" s="525">
        <f t="shared" si="6"/>
        <v>0.95967741935483886</v>
      </c>
      <c r="R25" s="615"/>
      <c r="S25" s="34">
        <v>0.26597222222222222</v>
      </c>
      <c r="T25" s="34">
        <v>0.33055555555555555</v>
      </c>
      <c r="U25" s="526">
        <f t="shared" ref="U25:U29" si="22">IF(S25=TIME(17,0,0),"",(S25-T24)*24*60)</f>
        <v>7.9999999999999716</v>
      </c>
      <c r="V25" s="529">
        <f t="shared" si="21"/>
        <v>92.999999999999986</v>
      </c>
      <c r="W25" s="16"/>
      <c r="X25" s="526"/>
      <c r="Y25" s="526"/>
      <c r="Z25" s="526"/>
      <c r="AA25" s="617"/>
      <c r="AB25" s="617"/>
      <c r="AC25" s="18"/>
      <c r="AD25" s="18"/>
      <c r="AE25" s="14">
        <f t="shared" si="8"/>
        <v>-80.645161290322221</v>
      </c>
      <c r="AF25" s="525">
        <f t="shared" si="9"/>
        <v>0.95967741935483886</v>
      </c>
      <c r="AG25" s="615"/>
    </row>
    <row r="26" spans="1:33" ht="15.75" customHeight="1">
      <c r="A26" s="643" t="s">
        <v>2683</v>
      </c>
      <c r="B26" s="29" t="s">
        <v>15</v>
      </c>
      <c r="C26" s="640" t="s">
        <v>80</v>
      </c>
      <c r="D26" s="640"/>
      <c r="E26" s="29">
        <v>53.27</v>
      </c>
      <c r="F26" s="531">
        <v>1981</v>
      </c>
      <c r="G26" s="526">
        <f t="shared" si="19"/>
        <v>105527.87000000001</v>
      </c>
      <c r="H26" s="33" t="s">
        <v>57</v>
      </c>
      <c r="I26" s="528">
        <v>16</v>
      </c>
      <c r="J26" s="31">
        <v>2000</v>
      </c>
      <c r="K26" s="12">
        <f t="shared" si="1"/>
        <v>125</v>
      </c>
      <c r="L26" s="528">
        <v>16</v>
      </c>
      <c r="M26" s="13">
        <f t="shared" si="20"/>
        <v>1917.0967741935478</v>
      </c>
      <c r="N26" s="12">
        <f t="shared" si="3"/>
        <v>119.81854838709674</v>
      </c>
      <c r="O26" s="14">
        <f t="shared" si="4"/>
        <v>0</v>
      </c>
      <c r="P26" s="15">
        <f t="shared" si="5"/>
        <v>-5.1814516129032597</v>
      </c>
      <c r="Q26" s="525">
        <f t="shared" si="6"/>
        <v>0.95854838709677392</v>
      </c>
      <c r="R26" s="615"/>
      <c r="S26" s="34">
        <v>0.33402777777777776</v>
      </c>
      <c r="T26" s="34">
        <v>0.37708333333333333</v>
      </c>
      <c r="U26" s="526">
        <f t="shared" si="22"/>
        <v>4.9999999999999822</v>
      </c>
      <c r="V26" s="529">
        <f t="shared" si="21"/>
        <v>62.000000000000021</v>
      </c>
      <c r="W26" s="16"/>
      <c r="X26" s="526"/>
      <c r="Y26" s="526"/>
      <c r="Z26" s="526"/>
      <c r="AA26" s="617"/>
      <c r="AB26" s="617"/>
      <c r="AC26" s="18"/>
      <c r="AD26" s="18"/>
      <c r="AE26" s="14">
        <f t="shared" si="8"/>
        <v>-82.903225806452156</v>
      </c>
      <c r="AF26" s="525">
        <f t="shared" si="9"/>
        <v>0.95854838709677392</v>
      </c>
      <c r="AG26" s="615"/>
    </row>
    <row r="27" spans="1:33" ht="15.75" customHeight="1">
      <c r="A27" s="643" t="s">
        <v>2683</v>
      </c>
      <c r="B27" s="29" t="s">
        <v>15</v>
      </c>
      <c r="C27" s="640" t="s">
        <v>1472</v>
      </c>
      <c r="D27" s="640"/>
      <c r="E27" s="29">
        <v>51.44</v>
      </c>
      <c r="F27" s="531">
        <v>2595</v>
      </c>
      <c r="G27" s="526">
        <f t="shared" si="19"/>
        <v>133486.79999999999</v>
      </c>
      <c r="H27" s="33" t="s">
        <v>57</v>
      </c>
      <c r="I27" s="528">
        <v>25</v>
      </c>
      <c r="J27" s="31">
        <v>2000</v>
      </c>
      <c r="K27" s="12">
        <f t="shared" si="1"/>
        <v>80</v>
      </c>
      <c r="L27" s="528">
        <v>25</v>
      </c>
      <c r="M27" s="13">
        <f t="shared" si="20"/>
        <v>1922.2222222222215</v>
      </c>
      <c r="N27" s="12">
        <f t="shared" si="3"/>
        <v>76.888888888888857</v>
      </c>
      <c r="O27" s="14">
        <f t="shared" si="4"/>
        <v>0</v>
      </c>
      <c r="P27" s="15">
        <f t="shared" si="5"/>
        <v>-3.1111111111111427</v>
      </c>
      <c r="Q27" s="525">
        <f t="shared" si="6"/>
        <v>0.96111111111111069</v>
      </c>
      <c r="R27" s="615"/>
      <c r="S27" s="34">
        <v>0.38055555555555554</v>
      </c>
      <c r="T27" s="34">
        <v>0.43680555555555556</v>
      </c>
      <c r="U27" s="526">
        <f t="shared" si="22"/>
        <v>4.9999999999999822</v>
      </c>
      <c r="V27" s="529">
        <f t="shared" si="21"/>
        <v>81.000000000000028</v>
      </c>
      <c r="W27" s="16"/>
      <c r="X27" s="526"/>
      <c r="Y27" s="526"/>
      <c r="Z27" s="526"/>
      <c r="AA27" s="617"/>
      <c r="AB27" s="617"/>
      <c r="AC27" s="18"/>
      <c r="AD27" s="18"/>
      <c r="AE27" s="14">
        <f t="shared" si="8"/>
        <v>-77.77777777777851</v>
      </c>
      <c r="AF27" s="525">
        <f t="shared" si="9"/>
        <v>0.96111111111111069</v>
      </c>
      <c r="AG27" s="615"/>
    </row>
    <row r="28" spans="1:33" ht="15.75" customHeight="1">
      <c r="A28" s="643" t="s">
        <v>2682</v>
      </c>
      <c r="B28" s="29" t="s">
        <v>15</v>
      </c>
      <c r="C28" s="640" t="s">
        <v>30</v>
      </c>
      <c r="D28" s="640"/>
      <c r="E28" s="29">
        <v>50.49</v>
      </c>
      <c r="F28" s="531">
        <v>2178</v>
      </c>
      <c r="G28" s="526">
        <f t="shared" si="19"/>
        <v>109967.22</v>
      </c>
      <c r="H28" s="33" t="s">
        <v>57</v>
      </c>
      <c r="I28" s="528">
        <v>15</v>
      </c>
      <c r="J28" s="31">
        <v>2000</v>
      </c>
      <c r="K28" s="12">
        <f t="shared" si="1"/>
        <v>133.33333333333334</v>
      </c>
      <c r="L28" s="528">
        <v>15</v>
      </c>
      <c r="M28" s="13">
        <f t="shared" si="20"/>
        <v>1921.7647058823552</v>
      </c>
      <c r="N28" s="12">
        <f t="shared" si="3"/>
        <v>128.11764705882368</v>
      </c>
      <c r="O28" s="14">
        <f t="shared" si="4"/>
        <v>0</v>
      </c>
      <c r="P28" s="15">
        <f t="shared" si="5"/>
        <v>-5.2156862745096646</v>
      </c>
      <c r="Q28" s="525">
        <f t="shared" si="6"/>
        <v>0.96088235294117752</v>
      </c>
      <c r="R28" s="615"/>
      <c r="S28" s="34">
        <v>0.70833333333333337</v>
      </c>
      <c r="T28" s="34">
        <v>0.75555555555555554</v>
      </c>
      <c r="U28" s="526" t="str">
        <f t="shared" si="22"/>
        <v/>
      </c>
      <c r="V28" s="529">
        <f t="shared" si="21"/>
        <v>67.999999999999915</v>
      </c>
      <c r="W28" s="16"/>
      <c r="X28" s="16"/>
      <c r="Y28" s="526"/>
      <c r="Z28" s="526"/>
      <c r="AA28" s="617"/>
      <c r="AB28" s="617"/>
      <c r="AC28" s="18"/>
      <c r="AD28" s="18"/>
      <c r="AE28" s="14">
        <f t="shared" si="8"/>
        <v>-78.235294117644798</v>
      </c>
      <c r="AF28" s="525">
        <f t="shared" si="9"/>
        <v>0.96088235294117763</v>
      </c>
      <c r="AG28" s="615"/>
    </row>
    <row r="29" spans="1:33" ht="15.75" customHeight="1">
      <c r="A29" s="643" t="s">
        <v>2683</v>
      </c>
      <c r="B29" s="29" t="s">
        <v>15</v>
      </c>
      <c r="C29" s="640" t="s">
        <v>82</v>
      </c>
      <c r="D29" s="640"/>
      <c r="E29" s="29">
        <v>51.06</v>
      </c>
      <c r="F29" s="531">
        <v>3506</v>
      </c>
      <c r="G29" s="526">
        <f t="shared" si="19"/>
        <v>179016.36000000002</v>
      </c>
      <c r="H29" s="33" t="s">
        <v>57</v>
      </c>
      <c r="I29" s="528">
        <v>13</v>
      </c>
      <c r="J29" s="31">
        <v>2000</v>
      </c>
      <c r="K29" s="12">
        <f t="shared" si="1"/>
        <v>153.84615384615384</v>
      </c>
      <c r="L29" s="528">
        <v>13</v>
      </c>
      <c r="M29" s="13">
        <f t="shared" si="20"/>
        <v>1912.3636363636376</v>
      </c>
      <c r="N29" s="12">
        <f t="shared" si="3"/>
        <v>147.10489510489521</v>
      </c>
      <c r="O29" s="14">
        <f t="shared" si="4"/>
        <v>0</v>
      </c>
      <c r="P29" s="15">
        <f t="shared" si="5"/>
        <v>-6.7412587412586333</v>
      </c>
      <c r="Q29" s="525">
        <f t="shared" si="6"/>
        <v>0.95618181818181891</v>
      </c>
      <c r="R29" s="615"/>
      <c r="S29" s="34">
        <v>0.75972222222222219</v>
      </c>
      <c r="T29" s="34">
        <v>0.83611111111111103</v>
      </c>
      <c r="U29" s="526">
        <f t="shared" si="22"/>
        <v>5.9999999999999787</v>
      </c>
      <c r="V29" s="529">
        <f t="shared" si="21"/>
        <v>109.99999999999993</v>
      </c>
      <c r="W29" s="16"/>
      <c r="X29" s="21"/>
      <c r="Y29" s="21"/>
      <c r="Z29" s="21"/>
      <c r="AA29" s="617"/>
      <c r="AB29" s="617"/>
      <c r="AC29" s="18"/>
      <c r="AD29" s="18"/>
      <c r="AE29" s="14">
        <f t="shared" si="8"/>
        <v>-87.636363636362375</v>
      </c>
      <c r="AF29" s="525">
        <f t="shared" si="9"/>
        <v>0.9561818181818188</v>
      </c>
      <c r="AG29" s="615"/>
    </row>
    <row r="30" spans="1:33" ht="15.75" customHeight="1">
      <c r="A30" s="643" t="s">
        <v>2683</v>
      </c>
      <c r="B30" s="29" t="s">
        <v>2675</v>
      </c>
      <c r="C30" s="618"/>
      <c r="D30" s="618"/>
      <c r="E30" s="527"/>
      <c r="F30" s="531"/>
      <c r="G30" s="526"/>
      <c r="H30" s="531"/>
      <c r="I30" s="23">
        <v>16.666666666666668</v>
      </c>
      <c r="J30" s="31">
        <v>2000</v>
      </c>
      <c r="K30" s="12">
        <f t="shared" si="1"/>
        <v>119.99999999999999</v>
      </c>
      <c r="L30" s="23">
        <v>16.666666666666668</v>
      </c>
      <c r="M30" s="13">
        <f>AVERAGE(M24:M29)</f>
        <v>1918.2670295619066</v>
      </c>
      <c r="N30" s="12">
        <f t="shared" si="3"/>
        <v>115.09602177371438</v>
      </c>
      <c r="O30" s="14">
        <f t="shared" si="4"/>
        <v>0</v>
      </c>
      <c r="P30" s="15">
        <f t="shared" si="5"/>
        <v>-4.9039782262856022</v>
      </c>
      <c r="Q30" s="525">
        <f t="shared" si="6"/>
        <v>0.95913351478095332</v>
      </c>
      <c r="R30" s="615"/>
      <c r="S30" s="34"/>
      <c r="T30" s="34"/>
      <c r="U30" s="12"/>
      <c r="V30" s="529"/>
      <c r="W30" s="12"/>
      <c r="X30" s="12"/>
      <c r="Y30" s="24">
        <f>SUM(Y24:Y29)</f>
        <v>0</v>
      </c>
      <c r="Z30" s="24">
        <f>SUM(Z24:Z29)</f>
        <v>0</v>
      </c>
      <c r="AA30" s="614"/>
      <c r="AB30" s="614"/>
      <c r="AC30" s="24">
        <v>6</v>
      </c>
      <c r="AD30" s="24">
        <f>SUM(AD24:AD29)</f>
        <v>0</v>
      </c>
      <c r="AE30" s="14">
        <f t="shared" si="8"/>
        <v>-81.732970438093389</v>
      </c>
      <c r="AF30" s="525">
        <f t="shared" si="9"/>
        <v>0.95913351478095332</v>
      </c>
      <c r="AG30" s="615"/>
    </row>
    <row r="31" spans="1:33" ht="15.75" customHeight="1">
      <c r="A31" s="641" t="s">
        <v>2684</v>
      </c>
      <c r="B31" s="29" t="s">
        <v>32</v>
      </c>
      <c r="C31" s="640" t="s">
        <v>33</v>
      </c>
      <c r="D31" s="640"/>
      <c r="E31" s="29">
        <v>31.29</v>
      </c>
      <c r="F31" s="531">
        <v>5800</v>
      </c>
      <c r="G31" s="526">
        <f t="shared" ref="G31:G38" si="23">E31*F31</f>
        <v>181482</v>
      </c>
      <c r="H31" s="33">
        <v>2</v>
      </c>
      <c r="I31" s="528">
        <v>18</v>
      </c>
      <c r="J31" s="31">
        <v>2400</v>
      </c>
      <c r="K31" s="12">
        <f t="shared" si="1"/>
        <v>133.33333333333334</v>
      </c>
      <c r="L31" s="528">
        <v>18</v>
      </c>
      <c r="M31" s="13">
        <f t="shared" ref="M31:M38" si="24">F31/V31*60</f>
        <v>2289.4736842105262</v>
      </c>
      <c r="N31" s="12">
        <f t="shared" si="3"/>
        <v>127.19298245614034</v>
      </c>
      <c r="O31" s="14">
        <f t="shared" si="4"/>
        <v>0</v>
      </c>
      <c r="P31" s="15">
        <f t="shared" si="5"/>
        <v>-6.1403508771930007</v>
      </c>
      <c r="Q31" s="525">
        <f t="shared" si="6"/>
        <v>0.95394736842105254</v>
      </c>
      <c r="R31" s="615">
        <f>Q39</f>
        <v>0.95805435983851772</v>
      </c>
      <c r="S31" s="34">
        <v>8.3333333333333329E-2</v>
      </c>
      <c r="T31" s="34">
        <v>0.18888888888888888</v>
      </c>
      <c r="U31" s="526"/>
      <c r="V31" s="529">
        <f t="shared" ref="V31:V38" si="25">(T31-S31)*24*60</f>
        <v>152</v>
      </c>
      <c r="W31" s="16">
        <f>T31</f>
        <v>0.18888888888888888</v>
      </c>
      <c r="X31" s="16">
        <f>S32</f>
        <v>0.20833333333333334</v>
      </c>
      <c r="Y31" s="16"/>
      <c r="Z31" s="16"/>
      <c r="AA31" s="617"/>
      <c r="AB31" s="617"/>
      <c r="AC31" s="18">
        <v>8</v>
      </c>
      <c r="AD31" s="18"/>
      <c r="AE31" s="14">
        <f t="shared" si="8"/>
        <v>-110.52631578947376</v>
      </c>
      <c r="AF31" s="525">
        <f t="shared" si="9"/>
        <v>0.95394736842105265</v>
      </c>
      <c r="AG31" s="615">
        <f>AF39</f>
        <v>0.95805435983851761</v>
      </c>
    </row>
    <row r="32" spans="1:33" ht="15.75" customHeight="1">
      <c r="A32" s="641" t="s">
        <v>2684</v>
      </c>
      <c r="B32" s="29" t="s">
        <v>32</v>
      </c>
      <c r="C32" s="640" t="s">
        <v>34</v>
      </c>
      <c r="D32" s="640"/>
      <c r="E32" s="29">
        <v>26.37</v>
      </c>
      <c r="F32" s="531">
        <v>3900</v>
      </c>
      <c r="G32" s="526">
        <f t="shared" si="23"/>
        <v>102843</v>
      </c>
      <c r="H32" s="33">
        <v>2</v>
      </c>
      <c r="I32" s="528">
        <v>18</v>
      </c>
      <c r="J32" s="31">
        <v>2400</v>
      </c>
      <c r="K32" s="12">
        <f t="shared" si="1"/>
        <v>133.33333333333334</v>
      </c>
      <c r="L32" s="528">
        <v>18</v>
      </c>
      <c r="M32" s="13">
        <f t="shared" si="24"/>
        <v>2294.1176470588234</v>
      </c>
      <c r="N32" s="12">
        <f t="shared" si="3"/>
        <v>127.45098039215685</v>
      </c>
      <c r="O32" s="14">
        <f t="shared" si="4"/>
        <v>0</v>
      </c>
      <c r="P32" s="15">
        <f t="shared" si="5"/>
        <v>-5.8823529411764923</v>
      </c>
      <c r="Q32" s="525">
        <f t="shared" si="6"/>
        <v>0.95588235294117629</v>
      </c>
      <c r="R32" s="615"/>
      <c r="S32" s="34">
        <v>0.20833333333333334</v>
      </c>
      <c r="T32" s="34">
        <v>0.27916666666666667</v>
      </c>
      <c r="U32" s="526">
        <f t="shared" ref="U32:U38" si="26">(S32-T31)*24*60</f>
        <v>28.000000000000021</v>
      </c>
      <c r="V32" s="529">
        <f t="shared" si="25"/>
        <v>102</v>
      </c>
      <c r="W32" s="16"/>
      <c r="X32" s="16"/>
      <c r="Y32" s="16"/>
      <c r="Z32" s="16"/>
      <c r="AA32" s="617"/>
      <c r="AB32" s="617"/>
      <c r="AC32" s="18"/>
      <c r="AD32" s="18"/>
      <c r="AE32" s="14">
        <f t="shared" si="8"/>
        <v>-105.88235294117658</v>
      </c>
      <c r="AF32" s="525">
        <f t="shared" si="9"/>
        <v>0.95588235294117641</v>
      </c>
      <c r="AG32" s="615"/>
    </row>
    <row r="33" spans="1:33" ht="15.75" customHeight="1">
      <c r="A33" s="641" t="s">
        <v>2684</v>
      </c>
      <c r="B33" s="29" t="s">
        <v>32</v>
      </c>
      <c r="C33" s="640" t="s">
        <v>76</v>
      </c>
      <c r="D33" s="640"/>
      <c r="E33" s="29">
        <v>26.18</v>
      </c>
      <c r="F33" s="531">
        <v>4700</v>
      </c>
      <c r="G33" s="526">
        <f t="shared" si="23"/>
        <v>123046</v>
      </c>
      <c r="H33" s="33">
        <v>2</v>
      </c>
      <c r="I33" s="528">
        <v>18</v>
      </c>
      <c r="J33" s="31">
        <v>2400</v>
      </c>
      <c r="K33" s="12">
        <f t="shared" si="1"/>
        <v>133.33333333333334</v>
      </c>
      <c r="L33" s="528">
        <v>18</v>
      </c>
      <c r="M33" s="13">
        <f t="shared" si="24"/>
        <v>2292.682926829269</v>
      </c>
      <c r="N33" s="12">
        <f t="shared" si="3"/>
        <v>127.37127371273716</v>
      </c>
      <c r="O33" s="14">
        <f t="shared" si="4"/>
        <v>0</v>
      </c>
      <c r="P33" s="15">
        <f t="shared" si="5"/>
        <v>-5.9620596205961789</v>
      </c>
      <c r="Q33" s="525">
        <f t="shared" si="6"/>
        <v>0.95528455284552871</v>
      </c>
      <c r="R33" s="615"/>
      <c r="S33" s="34">
        <v>0.28333333333333333</v>
      </c>
      <c r="T33" s="34">
        <v>0.36874999999999997</v>
      </c>
      <c r="U33" s="526">
        <f t="shared" si="26"/>
        <v>5.9999999999999787</v>
      </c>
      <c r="V33" s="529">
        <f t="shared" si="25"/>
        <v>122.99999999999996</v>
      </c>
      <c r="W33" s="16"/>
      <c r="X33" s="16"/>
      <c r="Y33" s="16"/>
      <c r="Z33" s="16"/>
      <c r="AA33" s="617"/>
      <c r="AB33" s="617"/>
      <c r="AC33" s="18"/>
      <c r="AD33" s="18"/>
      <c r="AE33" s="14">
        <f t="shared" si="8"/>
        <v>-107.31707317073096</v>
      </c>
      <c r="AF33" s="525">
        <f t="shared" si="9"/>
        <v>0.95528455284552871</v>
      </c>
      <c r="AG33" s="615"/>
    </row>
    <row r="34" spans="1:33" ht="15.75" customHeight="1">
      <c r="A34" s="641" t="s">
        <v>10</v>
      </c>
      <c r="B34" s="29" t="s">
        <v>32</v>
      </c>
      <c r="C34" s="640" t="s">
        <v>79</v>
      </c>
      <c r="D34" s="640"/>
      <c r="E34" s="29">
        <v>25.99</v>
      </c>
      <c r="F34" s="531">
        <v>1865</v>
      </c>
      <c r="G34" s="526">
        <f t="shared" si="23"/>
        <v>48471.35</v>
      </c>
      <c r="H34" s="33" t="s">
        <v>57</v>
      </c>
      <c r="I34" s="528">
        <v>18</v>
      </c>
      <c r="J34" s="31">
        <v>2400</v>
      </c>
      <c r="K34" s="12">
        <f t="shared" si="1"/>
        <v>133.33333333333334</v>
      </c>
      <c r="L34" s="528">
        <v>18</v>
      </c>
      <c r="M34" s="13">
        <f t="shared" si="24"/>
        <v>2331.2500000000009</v>
      </c>
      <c r="N34" s="12">
        <f t="shared" si="3"/>
        <v>129.51388888888894</v>
      </c>
      <c r="O34" s="14">
        <f t="shared" si="4"/>
        <v>0</v>
      </c>
      <c r="P34" s="15">
        <f t="shared" si="5"/>
        <v>-3.8194444444444002</v>
      </c>
      <c r="Q34" s="525">
        <f t="shared" si="6"/>
        <v>0.97135416666666696</v>
      </c>
      <c r="R34" s="615"/>
      <c r="S34" s="34">
        <v>0.37222222222222218</v>
      </c>
      <c r="T34" s="34">
        <v>0.4055555555555555</v>
      </c>
      <c r="U34" s="526">
        <f t="shared" si="26"/>
        <v>4.9999999999999822</v>
      </c>
      <c r="V34" s="529">
        <f t="shared" si="25"/>
        <v>47.999999999999986</v>
      </c>
      <c r="W34" s="16"/>
      <c r="X34" s="16"/>
      <c r="Y34" s="16"/>
      <c r="Z34" s="16"/>
      <c r="AA34" s="617"/>
      <c r="AB34" s="617"/>
      <c r="AC34" s="18"/>
      <c r="AD34" s="18"/>
      <c r="AE34" s="14">
        <f t="shared" si="8"/>
        <v>-68.749999999999091</v>
      </c>
      <c r="AF34" s="525">
        <f t="shared" si="9"/>
        <v>0.97135416666666707</v>
      </c>
      <c r="AG34" s="615"/>
    </row>
    <row r="35" spans="1:33" ht="15.75" customHeight="1">
      <c r="A35" s="641" t="s">
        <v>10</v>
      </c>
      <c r="B35" s="29" t="s">
        <v>32</v>
      </c>
      <c r="C35" s="640" t="s">
        <v>35</v>
      </c>
      <c r="D35" s="640"/>
      <c r="E35" s="29">
        <v>25.99</v>
      </c>
      <c r="F35" s="531">
        <v>4406</v>
      </c>
      <c r="G35" s="526">
        <f t="shared" si="23"/>
        <v>114511.93999999999</v>
      </c>
      <c r="H35" s="33" t="s">
        <v>57</v>
      </c>
      <c r="I35" s="528">
        <v>14</v>
      </c>
      <c r="J35" s="31">
        <v>2400</v>
      </c>
      <c r="K35" s="12">
        <f t="shared" si="1"/>
        <v>171.42857142857142</v>
      </c>
      <c r="L35" s="528">
        <v>14</v>
      </c>
      <c r="M35" s="13">
        <f t="shared" si="24"/>
        <v>2298.7826086956525</v>
      </c>
      <c r="N35" s="12">
        <f t="shared" si="3"/>
        <v>164.19875776397518</v>
      </c>
      <c r="O35" s="14">
        <f t="shared" si="4"/>
        <v>0</v>
      </c>
      <c r="P35" s="15">
        <f t="shared" si="5"/>
        <v>-7.2298136645962359</v>
      </c>
      <c r="Q35" s="525">
        <f t="shared" si="6"/>
        <v>0.95782608695652194</v>
      </c>
      <c r="R35" s="615"/>
      <c r="S35" s="34">
        <v>0.41111111111111104</v>
      </c>
      <c r="T35" s="34">
        <v>0.49097222222222214</v>
      </c>
      <c r="U35" s="526">
        <f t="shared" si="26"/>
        <v>7.9999999999999716</v>
      </c>
      <c r="V35" s="529">
        <f t="shared" si="25"/>
        <v>114.99999999999999</v>
      </c>
      <c r="W35" s="16">
        <f>T35</f>
        <v>0.49097222222222214</v>
      </c>
      <c r="X35" s="16">
        <f>S36</f>
        <v>0.53055555555555545</v>
      </c>
      <c r="Y35" s="16"/>
      <c r="Z35" s="16"/>
      <c r="AA35" s="617"/>
      <c r="AB35" s="617"/>
      <c r="AC35" s="18"/>
      <c r="AD35" s="18"/>
      <c r="AE35" s="14">
        <f t="shared" si="8"/>
        <v>-101.21739130434753</v>
      </c>
      <c r="AF35" s="525">
        <f t="shared" si="9"/>
        <v>0.95782608695652183</v>
      </c>
      <c r="AG35" s="615"/>
    </row>
    <row r="36" spans="1:33" ht="15.75" customHeight="1">
      <c r="A36" s="641" t="s">
        <v>10</v>
      </c>
      <c r="B36" s="29" t="s">
        <v>32</v>
      </c>
      <c r="C36" s="640" t="s">
        <v>76</v>
      </c>
      <c r="D36" s="640"/>
      <c r="E36" s="29">
        <v>26.18</v>
      </c>
      <c r="F36" s="531">
        <v>3645</v>
      </c>
      <c r="G36" s="526">
        <f t="shared" si="23"/>
        <v>95426.1</v>
      </c>
      <c r="H36" s="33" t="s">
        <v>57</v>
      </c>
      <c r="I36" s="528">
        <v>18</v>
      </c>
      <c r="J36" s="31">
        <v>2400</v>
      </c>
      <c r="K36" s="12">
        <f t="shared" si="1"/>
        <v>133.33333333333334</v>
      </c>
      <c r="L36" s="528">
        <v>18</v>
      </c>
      <c r="M36" s="13">
        <f t="shared" si="24"/>
        <v>2302.105263157895</v>
      </c>
      <c r="N36" s="12">
        <f t="shared" si="3"/>
        <v>127.89473684210527</v>
      </c>
      <c r="O36" s="14">
        <f t="shared" si="4"/>
        <v>0</v>
      </c>
      <c r="P36" s="15">
        <f t="shared" si="5"/>
        <v>-5.4385964912280684</v>
      </c>
      <c r="Q36" s="525">
        <f t="shared" si="6"/>
        <v>0.95921052631578951</v>
      </c>
      <c r="R36" s="615"/>
      <c r="S36" s="34">
        <v>0.53055555555555545</v>
      </c>
      <c r="T36" s="34">
        <v>0.59652777777777766</v>
      </c>
      <c r="U36" s="526">
        <f t="shared" si="26"/>
        <v>56.999999999999957</v>
      </c>
      <c r="V36" s="529">
        <f t="shared" si="25"/>
        <v>94.999999999999986</v>
      </c>
      <c r="W36" s="16"/>
      <c r="X36" s="16"/>
      <c r="Y36" s="16"/>
      <c r="Z36" s="16"/>
      <c r="AA36" s="617"/>
      <c r="AB36" s="617"/>
      <c r="AC36" s="18"/>
      <c r="AD36" s="18"/>
      <c r="AE36" s="14">
        <f t="shared" si="8"/>
        <v>-97.894736842104976</v>
      </c>
      <c r="AF36" s="525">
        <f t="shared" si="9"/>
        <v>0.95921052631578962</v>
      </c>
      <c r="AG36" s="615"/>
    </row>
    <row r="37" spans="1:33" ht="15.75" customHeight="1">
      <c r="A37" s="641" t="s">
        <v>2684</v>
      </c>
      <c r="B37" s="29" t="s">
        <v>32</v>
      </c>
      <c r="C37" s="640" t="s">
        <v>34</v>
      </c>
      <c r="D37" s="640"/>
      <c r="E37" s="29">
        <v>26.37</v>
      </c>
      <c r="F37" s="531">
        <v>2867</v>
      </c>
      <c r="G37" s="526">
        <f t="shared" si="23"/>
        <v>75602.790000000008</v>
      </c>
      <c r="H37" s="33" t="s">
        <v>57</v>
      </c>
      <c r="I37" s="528">
        <v>18</v>
      </c>
      <c r="J37" s="31">
        <v>2400</v>
      </c>
      <c r="K37" s="12">
        <f t="shared" si="1"/>
        <v>133.33333333333334</v>
      </c>
      <c r="L37" s="528">
        <v>18</v>
      </c>
      <c r="M37" s="13">
        <f t="shared" si="24"/>
        <v>2293.5999999999981</v>
      </c>
      <c r="N37" s="12">
        <f t="shared" si="3"/>
        <v>127.42222222222212</v>
      </c>
      <c r="O37" s="14">
        <f t="shared" si="4"/>
        <v>0</v>
      </c>
      <c r="P37" s="15">
        <f t="shared" si="5"/>
        <v>-5.9111111111112251</v>
      </c>
      <c r="Q37" s="525">
        <f t="shared" si="6"/>
        <v>0.95566666666666578</v>
      </c>
      <c r="R37" s="615"/>
      <c r="S37" s="34">
        <v>0.59999999999999987</v>
      </c>
      <c r="T37" s="34">
        <v>0.65208333333333324</v>
      </c>
      <c r="U37" s="526">
        <f t="shared" si="26"/>
        <v>4.9999999999999822</v>
      </c>
      <c r="V37" s="529">
        <f t="shared" si="25"/>
        <v>75.000000000000057</v>
      </c>
      <c r="W37" s="16"/>
      <c r="X37" s="16"/>
      <c r="Y37" s="16"/>
      <c r="Z37" s="16"/>
      <c r="AA37" s="617"/>
      <c r="AB37" s="617"/>
      <c r="AC37" s="18"/>
      <c r="AD37" s="18"/>
      <c r="AE37" s="14">
        <f t="shared" si="8"/>
        <v>-106.40000000000191</v>
      </c>
      <c r="AF37" s="525">
        <f t="shared" si="9"/>
        <v>0.95566666666666589</v>
      </c>
      <c r="AG37" s="615"/>
    </row>
    <row r="38" spans="1:33" ht="15.75" customHeight="1">
      <c r="A38" s="641" t="s">
        <v>2684</v>
      </c>
      <c r="B38" s="29" t="s">
        <v>32</v>
      </c>
      <c r="C38" s="532" t="s">
        <v>33</v>
      </c>
      <c r="D38" s="533"/>
      <c r="E38" s="29">
        <v>31.29</v>
      </c>
      <c r="F38" s="531">
        <v>4356</v>
      </c>
      <c r="G38" s="526">
        <f t="shared" si="23"/>
        <v>136299.24</v>
      </c>
      <c r="H38" s="33" t="s">
        <v>57</v>
      </c>
      <c r="I38" s="528">
        <v>18</v>
      </c>
      <c r="J38" s="31">
        <v>2400</v>
      </c>
      <c r="K38" s="12">
        <f t="shared" si="1"/>
        <v>133.33333333333334</v>
      </c>
      <c r="L38" s="528">
        <v>18</v>
      </c>
      <c r="M38" s="13">
        <f t="shared" si="24"/>
        <v>2292.6315789473701</v>
      </c>
      <c r="N38" s="12">
        <f t="shared" si="3"/>
        <v>127.36842105263167</v>
      </c>
      <c r="O38" s="14">
        <f t="shared" si="4"/>
        <v>0</v>
      </c>
      <c r="P38" s="15">
        <f t="shared" si="5"/>
        <v>-5.9649122807016681</v>
      </c>
      <c r="Q38" s="525">
        <f t="shared" si="6"/>
        <v>0.95526315789473748</v>
      </c>
      <c r="R38" s="615"/>
      <c r="S38" s="34">
        <v>0.65694444444444433</v>
      </c>
      <c r="T38" s="34">
        <v>0.73611111111111094</v>
      </c>
      <c r="U38" s="526">
        <f t="shared" si="26"/>
        <v>6.9999999999999751</v>
      </c>
      <c r="V38" s="529">
        <f t="shared" si="25"/>
        <v>113.99999999999991</v>
      </c>
      <c r="W38" s="16"/>
      <c r="X38" s="16"/>
      <c r="Y38" s="16"/>
      <c r="Z38" s="16"/>
      <c r="AA38" s="521"/>
      <c r="AB38" s="522"/>
      <c r="AC38" s="18"/>
      <c r="AD38" s="18"/>
      <c r="AE38" s="14">
        <f t="shared" si="8"/>
        <v>-107.36842105262986</v>
      </c>
      <c r="AF38" s="525">
        <f t="shared" si="9"/>
        <v>0.95526315789473759</v>
      </c>
      <c r="AG38" s="615"/>
    </row>
    <row r="39" spans="1:33" ht="15.75" customHeight="1">
      <c r="A39" s="641" t="s">
        <v>10</v>
      </c>
      <c r="B39" s="29" t="s">
        <v>2675</v>
      </c>
      <c r="C39" s="618"/>
      <c r="D39" s="618"/>
      <c r="E39" s="527"/>
      <c r="F39" s="531"/>
      <c r="G39" s="526"/>
      <c r="H39" s="531"/>
      <c r="I39" s="23">
        <v>17.5</v>
      </c>
      <c r="J39" s="31">
        <v>2400</v>
      </c>
      <c r="K39" s="12">
        <f t="shared" si="1"/>
        <v>137.14285714285714</v>
      </c>
      <c r="L39" s="23">
        <v>17.5</v>
      </c>
      <c r="M39" s="13">
        <f>AVERAGE(M31:M38)</f>
        <v>2299.3304636124421</v>
      </c>
      <c r="N39" s="12">
        <f t="shared" si="3"/>
        <v>131.39031220642528</v>
      </c>
      <c r="O39" s="14">
        <f t="shared" si="4"/>
        <v>0</v>
      </c>
      <c r="P39" s="15">
        <f t="shared" si="5"/>
        <v>-5.7525449364318604</v>
      </c>
      <c r="Q39" s="525">
        <f t="shared" si="6"/>
        <v>0.95805435983851772</v>
      </c>
      <c r="R39" s="615"/>
      <c r="S39" s="34"/>
      <c r="T39" s="34"/>
      <c r="U39" s="526"/>
      <c r="V39" s="529"/>
      <c r="W39" s="526"/>
      <c r="X39" s="526"/>
      <c r="Y39" s="24">
        <f>SUM(Y31:Y38)</f>
        <v>0</v>
      </c>
      <c r="Z39" s="24">
        <f>SUM(Z31:Z38)</f>
        <v>0</v>
      </c>
      <c r="AA39" s="614"/>
      <c r="AB39" s="614"/>
      <c r="AC39" s="24">
        <v>8</v>
      </c>
      <c r="AD39" s="24">
        <f>SUM(AD31:AD38)</f>
        <v>0</v>
      </c>
      <c r="AE39" s="14">
        <f t="shared" si="8"/>
        <v>-100.66953638755786</v>
      </c>
      <c r="AF39" s="525">
        <f t="shared" si="9"/>
        <v>0.95805435983851761</v>
      </c>
      <c r="AG39" s="615"/>
    </row>
    <row r="40" spans="1:33" ht="15.75" customHeight="1">
      <c r="A40" s="638" t="s">
        <v>11</v>
      </c>
      <c r="B40" s="29" t="s">
        <v>32</v>
      </c>
      <c r="C40" s="616" t="s">
        <v>77</v>
      </c>
      <c r="D40" s="616"/>
      <c r="E40" s="29">
        <v>26.18</v>
      </c>
      <c r="F40" s="531">
        <v>3800</v>
      </c>
      <c r="G40" s="526">
        <f t="shared" ref="G40:G46" si="27">E40*F40</f>
        <v>99484</v>
      </c>
      <c r="H40" s="33">
        <v>2</v>
      </c>
      <c r="I40" s="528">
        <v>20</v>
      </c>
      <c r="J40" s="31">
        <v>2400</v>
      </c>
      <c r="K40" s="12">
        <f t="shared" si="1"/>
        <v>120</v>
      </c>
      <c r="L40" s="528">
        <v>20</v>
      </c>
      <c r="M40" s="13">
        <f t="shared" ref="M40:M46" si="28">F40/V40*60</f>
        <v>2303.030303030303</v>
      </c>
      <c r="N40" s="12">
        <f t="shared" si="3"/>
        <v>115.15151515151516</v>
      </c>
      <c r="O40" s="14">
        <f t="shared" si="4"/>
        <v>0</v>
      </c>
      <c r="P40" s="15">
        <f t="shared" si="5"/>
        <v>-4.8484848484848442</v>
      </c>
      <c r="Q40" s="525">
        <f t="shared" si="6"/>
        <v>0.95959595959595967</v>
      </c>
      <c r="R40" s="615">
        <f>Q47</f>
        <v>0.9563059518884891</v>
      </c>
      <c r="S40" s="34">
        <v>8.3333333333333329E-2</v>
      </c>
      <c r="T40" s="34">
        <v>0.15208333333333332</v>
      </c>
      <c r="U40" s="526"/>
      <c r="V40" s="529">
        <f t="shared" ref="V40:V46" si="29">(T40-S40)*24*60</f>
        <v>99</v>
      </c>
      <c r="W40" s="21">
        <f>T40</f>
        <v>0.15208333333333332</v>
      </c>
      <c r="X40" s="21">
        <f>S41</f>
        <v>0.17083333333333334</v>
      </c>
      <c r="Y40" s="21"/>
      <c r="Z40" s="21"/>
      <c r="AA40" s="617"/>
      <c r="AB40" s="617"/>
      <c r="AC40" s="18">
        <v>7</v>
      </c>
      <c r="AD40" s="18"/>
      <c r="AE40" s="14">
        <f t="shared" si="8"/>
        <v>-96.969696969696997</v>
      </c>
      <c r="AF40" s="525">
        <f t="shared" si="9"/>
        <v>0.95959595959595956</v>
      </c>
      <c r="AG40" s="615">
        <f>AF47</f>
        <v>0.95630595188848921</v>
      </c>
    </row>
    <row r="41" spans="1:33" ht="15.75" customHeight="1">
      <c r="A41" s="638" t="s">
        <v>2685</v>
      </c>
      <c r="B41" s="29" t="s">
        <v>32</v>
      </c>
      <c r="C41" s="616" t="s">
        <v>37</v>
      </c>
      <c r="D41" s="616"/>
      <c r="E41" s="29">
        <v>24.43</v>
      </c>
      <c r="F41" s="531">
        <v>4000</v>
      </c>
      <c r="G41" s="526">
        <f t="shared" si="27"/>
        <v>97720</v>
      </c>
      <c r="H41" s="33">
        <v>2</v>
      </c>
      <c r="I41" s="528">
        <v>14</v>
      </c>
      <c r="J41" s="31">
        <v>2400</v>
      </c>
      <c r="K41" s="12">
        <f t="shared" si="1"/>
        <v>171.42857142857142</v>
      </c>
      <c r="L41" s="528">
        <v>14</v>
      </c>
      <c r="M41" s="13">
        <f t="shared" si="28"/>
        <v>2285.7142857142853</v>
      </c>
      <c r="N41" s="12">
        <f t="shared" si="3"/>
        <v>163.26530612244895</v>
      </c>
      <c r="O41" s="14">
        <f t="shared" si="4"/>
        <v>0</v>
      </c>
      <c r="P41" s="15">
        <f t="shared" si="5"/>
        <v>-8.1632653061224687</v>
      </c>
      <c r="Q41" s="525">
        <f t="shared" si="6"/>
        <v>0.95238095238095222</v>
      </c>
      <c r="R41" s="615"/>
      <c r="S41" s="34">
        <v>0.17083333333333334</v>
      </c>
      <c r="T41" s="34">
        <v>0.24375000000000002</v>
      </c>
      <c r="U41" s="526">
        <f t="shared" ref="U41:U46" si="30">(S41-T40)*24*60</f>
        <v>27.000000000000025</v>
      </c>
      <c r="V41" s="529">
        <f t="shared" si="29"/>
        <v>105.00000000000003</v>
      </c>
      <c r="W41" s="526"/>
      <c r="X41" s="526"/>
      <c r="Y41" s="526"/>
      <c r="Z41" s="526"/>
      <c r="AA41" s="617"/>
      <c r="AB41" s="617"/>
      <c r="AC41" s="18"/>
      <c r="AD41" s="18"/>
      <c r="AE41" s="14">
        <f t="shared" si="8"/>
        <v>-114.28571428571468</v>
      </c>
      <c r="AF41" s="525">
        <f t="shared" si="9"/>
        <v>0.95238095238095222</v>
      </c>
      <c r="AG41" s="615"/>
    </row>
    <row r="42" spans="1:33">
      <c r="A42" s="639" t="s">
        <v>11</v>
      </c>
      <c r="B42" s="29" t="s">
        <v>32</v>
      </c>
      <c r="C42" s="616" t="s">
        <v>2090</v>
      </c>
      <c r="D42" s="616"/>
      <c r="E42" s="29">
        <v>25.98</v>
      </c>
      <c r="F42" s="531">
        <v>5173</v>
      </c>
      <c r="G42" s="526">
        <f t="shared" si="27"/>
        <v>134394.54</v>
      </c>
      <c r="H42" s="33" t="s">
        <v>57</v>
      </c>
      <c r="I42" s="528">
        <v>20</v>
      </c>
      <c r="J42" s="31">
        <v>2400</v>
      </c>
      <c r="K42" s="12">
        <f t="shared" si="1"/>
        <v>120</v>
      </c>
      <c r="L42" s="528">
        <v>20</v>
      </c>
      <c r="M42" s="13">
        <f t="shared" si="28"/>
        <v>2299.1111111111109</v>
      </c>
      <c r="N42" s="12">
        <f t="shared" si="3"/>
        <v>114.95555555555555</v>
      </c>
      <c r="O42" s="14">
        <f t="shared" si="4"/>
        <v>0</v>
      </c>
      <c r="P42" s="15">
        <f t="shared" si="5"/>
        <v>-5.0444444444444514</v>
      </c>
      <c r="Q42" s="525">
        <f t="shared" si="6"/>
        <v>0.95796296296296291</v>
      </c>
      <c r="R42" s="615"/>
      <c r="S42" s="34">
        <v>0.24722222222222223</v>
      </c>
      <c r="T42" s="34">
        <v>0.34097222222222223</v>
      </c>
      <c r="U42" s="526">
        <f t="shared" si="30"/>
        <v>4.9999999999999822</v>
      </c>
      <c r="V42" s="529">
        <f t="shared" si="29"/>
        <v>135</v>
      </c>
      <c r="W42" s="526"/>
      <c r="X42" s="526"/>
      <c r="Y42" s="526"/>
      <c r="Z42" s="526"/>
      <c r="AA42" s="617"/>
      <c r="AB42" s="617"/>
      <c r="AC42" s="18"/>
      <c r="AD42" s="18"/>
      <c r="AE42" s="14">
        <f t="shared" si="8"/>
        <v>-100.88888888888914</v>
      </c>
      <c r="AF42" s="525">
        <f t="shared" si="9"/>
        <v>0.95796296296296291</v>
      </c>
      <c r="AG42" s="615"/>
    </row>
    <row r="43" spans="1:33">
      <c r="A43" s="639" t="s">
        <v>11</v>
      </c>
      <c r="B43" s="29" t="s">
        <v>32</v>
      </c>
      <c r="C43" s="616" t="s">
        <v>39</v>
      </c>
      <c r="D43" s="616"/>
      <c r="E43" s="29">
        <v>34.1</v>
      </c>
      <c r="F43" s="531">
        <v>3700</v>
      </c>
      <c r="G43" s="526">
        <f t="shared" si="27"/>
        <v>126170</v>
      </c>
      <c r="H43" s="33">
        <v>2</v>
      </c>
      <c r="I43" s="528">
        <v>17</v>
      </c>
      <c r="J43" s="31">
        <v>1600</v>
      </c>
      <c r="K43" s="12">
        <f t="shared" si="1"/>
        <v>94.117647058823536</v>
      </c>
      <c r="L43" s="528">
        <v>17</v>
      </c>
      <c r="M43" s="13">
        <f t="shared" si="28"/>
        <v>1531.0344827586209</v>
      </c>
      <c r="N43" s="12">
        <f t="shared" si="3"/>
        <v>90.060851926977705</v>
      </c>
      <c r="O43" s="14">
        <f t="shared" si="4"/>
        <v>0</v>
      </c>
      <c r="P43" s="15">
        <f t="shared" si="5"/>
        <v>-4.0567951318458313</v>
      </c>
      <c r="Q43" s="525">
        <f t="shared" si="6"/>
        <v>0.95689655172413801</v>
      </c>
      <c r="R43" s="615"/>
      <c r="S43" s="34">
        <v>0.34513888888888888</v>
      </c>
      <c r="T43" s="34">
        <v>0.4458333333333333</v>
      </c>
      <c r="U43" s="526">
        <f t="shared" si="30"/>
        <v>5.9999999999999787</v>
      </c>
      <c r="V43" s="529">
        <f t="shared" si="29"/>
        <v>144.99999999999997</v>
      </c>
      <c r="W43" s="16"/>
      <c r="X43" s="16"/>
      <c r="Y43" s="16"/>
      <c r="Z43" s="16"/>
      <c r="AA43" s="617"/>
      <c r="AB43" s="617"/>
      <c r="AC43" s="18"/>
      <c r="AD43" s="18"/>
      <c r="AE43" s="14">
        <f t="shared" si="8"/>
        <v>-68.965517241379075</v>
      </c>
      <c r="AF43" s="525">
        <f t="shared" si="9"/>
        <v>0.95689655172413812</v>
      </c>
      <c r="AG43" s="615"/>
    </row>
    <row r="44" spans="1:33">
      <c r="A44" s="639" t="s">
        <v>2685</v>
      </c>
      <c r="B44" s="29" t="s">
        <v>32</v>
      </c>
      <c r="C44" s="616" t="s">
        <v>84</v>
      </c>
      <c r="D44" s="616"/>
      <c r="E44" s="29">
        <v>20.21</v>
      </c>
      <c r="F44" s="531">
        <v>3508</v>
      </c>
      <c r="G44" s="526">
        <f t="shared" si="27"/>
        <v>70896.680000000008</v>
      </c>
      <c r="H44" s="33" t="s">
        <v>57</v>
      </c>
      <c r="I44" s="528">
        <v>18</v>
      </c>
      <c r="J44" s="31">
        <v>2400</v>
      </c>
      <c r="K44" s="12">
        <f t="shared" si="1"/>
        <v>133.33333333333334</v>
      </c>
      <c r="L44" s="528">
        <v>18</v>
      </c>
      <c r="M44" s="13">
        <f t="shared" si="28"/>
        <v>2287.8260869565215</v>
      </c>
      <c r="N44" s="12">
        <f t="shared" si="3"/>
        <v>127.10144927536231</v>
      </c>
      <c r="O44" s="14">
        <f t="shared" si="4"/>
        <v>0</v>
      </c>
      <c r="P44" s="15">
        <f t="shared" si="5"/>
        <v>-6.2318840579710297</v>
      </c>
      <c r="Q44" s="525">
        <f t="shared" si="6"/>
        <v>0.95326086956521727</v>
      </c>
      <c r="R44" s="615"/>
      <c r="S44" s="34">
        <v>0.44930555555555551</v>
      </c>
      <c r="T44" s="34">
        <v>0.5131944444444444</v>
      </c>
      <c r="U44" s="526">
        <f t="shared" si="30"/>
        <v>4.9999999999999822</v>
      </c>
      <c r="V44" s="529">
        <f t="shared" si="29"/>
        <v>92</v>
      </c>
      <c r="W44" s="16">
        <f>T44</f>
        <v>0.5131944444444444</v>
      </c>
      <c r="X44" s="16">
        <f>S45</f>
        <v>0.5527777777777777</v>
      </c>
      <c r="Y44" s="16"/>
      <c r="Z44" s="16"/>
      <c r="AA44" s="617"/>
      <c r="AB44" s="617"/>
      <c r="AC44" s="18"/>
      <c r="AD44" s="18"/>
      <c r="AE44" s="14">
        <f t="shared" si="8"/>
        <v>-112.17391304347848</v>
      </c>
      <c r="AF44" s="525">
        <f t="shared" si="9"/>
        <v>0.95326086956521727</v>
      </c>
      <c r="AG44" s="615"/>
    </row>
    <row r="45" spans="1:33">
      <c r="A45" s="639" t="s">
        <v>2685</v>
      </c>
      <c r="B45" s="29" t="s">
        <v>32</v>
      </c>
      <c r="C45" s="616" t="s">
        <v>39</v>
      </c>
      <c r="D45" s="616"/>
      <c r="E45" s="29">
        <v>34.1</v>
      </c>
      <c r="F45" s="531">
        <v>3215</v>
      </c>
      <c r="G45" s="526">
        <f t="shared" si="27"/>
        <v>109631.5</v>
      </c>
      <c r="H45" s="33" t="s">
        <v>57</v>
      </c>
      <c r="I45" s="528">
        <v>17</v>
      </c>
      <c r="J45" s="31">
        <v>1600</v>
      </c>
      <c r="K45" s="12">
        <f t="shared" si="1"/>
        <v>94.117647058823536</v>
      </c>
      <c r="L45" s="528">
        <v>17</v>
      </c>
      <c r="M45" s="13">
        <f t="shared" si="28"/>
        <v>1530.9523809523805</v>
      </c>
      <c r="N45" s="12">
        <f t="shared" si="3"/>
        <v>90.056022408963557</v>
      </c>
      <c r="O45" s="14">
        <f t="shared" si="4"/>
        <v>0</v>
      </c>
      <c r="P45" s="15">
        <f t="shared" si="5"/>
        <v>-4.0616246498599793</v>
      </c>
      <c r="Q45" s="525">
        <f t="shared" si="6"/>
        <v>0.95684523809523769</v>
      </c>
      <c r="R45" s="615"/>
      <c r="S45" s="34">
        <v>0.5527777777777777</v>
      </c>
      <c r="T45" s="34">
        <v>0.64027777777777772</v>
      </c>
      <c r="U45" s="526">
        <f t="shared" si="30"/>
        <v>56.999999999999957</v>
      </c>
      <c r="V45" s="529">
        <f t="shared" si="29"/>
        <v>126.00000000000003</v>
      </c>
      <c r="W45" s="16"/>
      <c r="X45" s="16"/>
      <c r="Y45" s="16"/>
      <c r="Z45" s="16"/>
      <c r="AA45" s="617"/>
      <c r="AB45" s="617"/>
      <c r="AC45" s="18"/>
      <c r="AD45" s="18"/>
      <c r="AE45" s="14">
        <f t="shared" si="8"/>
        <v>-69.047619047619492</v>
      </c>
      <c r="AF45" s="525">
        <f t="shared" si="9"/>
        <v>0.9568452380952378</v>
      </c>
      <c r="AG45" s="615"/>
    </row>
    <row r="46" spans="1:33">
      <c r="A46" s="639" t="s">
        <v>2685</v>
      </c>
      <c r="B46" s="29" t="s">
        <v>32</v>
      </c>
      <c r="C46" s="616" t="s">
        <v>77</v>
      </c>
      <c r="D46" s="616"/>
      <c r="E46" s="29">
        <v>26.18</v>
      </c>
      <c r="F46" s="531">
        <v>2528</v>
      </c>
      <c r="G46" s="526">
        <f t="shared" si="27"/>
        <v>66183.039999999994</v>
      </c>
      <c r="H46" s="33" t="s">
        <v>57</v>
      </c>
      <c r="I46" s="528">
        <v>20</v>
      </c>
      <c r="J46" s="31">
        <v>2400</v>
      </c>
      <c r="K46" s="12">
        <f t="shared" si="1"/>
        <v>120</v>
      </c>
      <c r="L46" s="528">
        <v>20</v>
      </c>
      <c r="M46" s="13">
        <f t="shared" si="28"/>
        <v>2298.1818181818153</v>
      </c>
      <c r="N46" s="12">
        <f t="shared" si="3"/>
        <v>114.90909090909076</v>
      </c>
      <c r="O46" s="14">
        <f t="shared" si="4"/>
        <v>0</v>
      </c>
      <c r="P46" s="15">
        <f t="shared" si="5"/>
        <v>-5.0909090909092356</v>
      </c>
      <c r="Q46" s="525">
        <f t="shared" si="6"/>
        <v>0.95757575757575641</v>
      </c>
      <c r="R46" s="615"/>
      <c r="S46" s="34">
        <v>0.64444444444444438</v>
      </c>
      <c r="T46" s="34">
        <v>0.69027777777777777</v>
      </c>
      <c r="U46" s="526">
        <f t="shared" si="30"/>
        <v>5.9999999999999787</v>
      </c>
      <c r="V46" s="529">
        <f t="shared" si="29"/>
        <v>66.000000000000085</v>
      </c>
      <c r="W46" s="16"/>
      <c r="X46" s="16"/>
      <c r="Y46" s="19"/>
      <c r="Z46" s="19"/>
      <c r="AA46" s="624"/>
      <c r="AB46" s="625"/>
      <c r="AC46" s="18"/>
      <c r="AD46" s="18"/>
      <c r="AE46" s="14">
        <f t="shared" si="8"/>
        <v>-101.81818181818471</v>
      </c>
      <c r="AF46" s="525">
        <f t="shared" si="9"/>
        <v>0.95757575757575641</v>
      </c>
      <c r="AG46" s="615"/>
    </row>
    <row r="47" spans="1:33">
      <c r="A47" s="639" t="s">
        <v>11</v>
      </c>
      <c r="B47" s="30" t="s">
        <v>2675</v>
      </c>
      <c r="C47" s="618"/>
      <c r="D47" s="618"/>
      <c r="E47" s="527"/>
      <c r="F47" s="30"/>
      <c r="G47" s="12"/>
      <c r="H47" s="531"/>
      <c r="I47" s="23">
        <v>18</v>
      </c>
      <c r="J47" s="31">
        <v>2171.4285714285716</v>
      </c>
      <c r="K47" s="12">
        <f t="shared" si="1"/>
        <v>120.63492063492065</v>
      </c>
      <c r="L47" s="23">
        <v>18</v>
      </c>
      <c r="M47" s="13">
        <f>AVERAGE(M40:M46)</f>
        <v>2076.5500669578623</v>
      </c>
      <c r="N47" s="12">
        <f t="shared" si="3"/>
        <v>115.36389260877013</v>
      </c>
      <c r="O47" s="14">
        <f t="shared" si="4"/>
        <v>0</v>
      </c>
      <c r="P47" s="15">
        <f t="shared" si="5"/>
        <v>-5.2710280261505176</v>
      </c>
      <c r="Q47" s="525">
        <f t="shared" si="6"/>
        <v>0.9563059518884891</v>
      </c>
      <c r="R47" s="615"/>
      <c r="S47" s="34"/>
      <c r="T47" s="34"/>
      <c r="U47" s="12"/>
      <c r="V47" s="529"/>
      <c r="W47" s="12"/>
      <c r="X47" s="12"/>
      <c r="Y47" s="24">
        <f>SUM(Y40:Y46)</f>
        <v>0</v>
      </c>
      <c r="Z47" s="24">
        <f>SUM(Z40:Z46)</f>
        <v>0</v>
      </c>
      <c r="AA47" s="614"/>
      <c r="AB47" s="614"/>
      <c r="AC47" s="24">
        <v>7</v>
      </c>
      <c r="AD47" s="24">
        <f>SUM(AD40:AD46)</f>
        <v>0</v>
      </c>
      <c r="AE47" s="14">
        <f t="shared" si="8"/>
        <v>-94.878504470709231</v>
      </c>
      <c r="AF47" s="525">
        <f t="shared" si="9"/>
        <v>0.95630595188848921</v>
      </c>
      <c r="AG47" s="615"/>
    </row>
    <row r="48" spans="1:33" ht="15.75" customHeight="1">
      <c r="A48" s="632" t="s">
        <v>2686</v>
      </c>
      <c r="B48" s="29" t="s">
        <v>40</v>
      </c>
      <c r="C48" s="622" t="s">
        <v>49</v>
      </c>
      <c r="D48" s="623"/>
      <c r="E48" s="29">
        <v>34.36</v>
      </c>
      <c r="F48" s="531">
        <v>2541</v>
      </c>
      <c r="G48" s="526">
        <f t="shared" ref="G48:G50" si="31">E48*F48</f>
        <v>87308.76</v>
      </c>
      <c r="H48" s="33" t="s">
        <v>57</v>
      </c>
      <c r="I48" s="528">
        <v>10</v>
      </c>
      <c r="J48" s="31">
        <v>3000</v>
      </c>
      <c r="K48" s="12">
        <f t="shared" si="1"/>
        <v>300</v>
      </c>
      <c r="L48" s="528">
        <v>10</v>
      </c>
      <c r="M48" s="13">
        <f t="shared" ref="M48:M50" si="32">F48/V48*60</f>
        <v>2876.603773584905</v>
      </c>
      <c r="N48" s="13">
        <f t="shared" si="3"/>
        <v>287.66037735849051</v>
      </c>
      <c r="O48" s="14">
        <f t="shared" si="4"/>
        <v>0</v>
      </c>
      <c r="P48" s="15">
        <f t="shared" si="5"/>
        <v>-12.339622641509493</v>
      </c>
      <c r="Q48" s="525">
        <f t="shared" si="6"/>
        <v>0.95886792452830172</v>
      </c>
      <c r="R48" s="635">
        <f>Q51</f>
        <v>0.95580288540081593</v>
      </c>
      <c r="S48" s="34">
        <v>0.20833333333333334</v>
      </c>
      <c r="T48" s="34">
        <v>0.24513888888888891</v>
      </c>
      <c r="U48" s="21"/>
      <c r="V48" s="529">
        <f t="shared" ref="V48:V50" si="33">(T48-S48)*24*60</f>
        <v>53.000000000000014</v>
      </c>
      <c r="W48" s="16"/>
      <c r="X48" s="16"/>
      <c r="Y48" s="19"/>
      <c r="Z48" s="19"/>
      <c r="AA48" s="624"/>
      <c r="AB48" s="625"/>
      <c r="AC48" s="18">
        <v>3</v>
      </c>
      <c r="AD48" s="18"/>
      <c r="AE48" s="14">
        <f t="shared" si="8"/>
        <v>-123.39622641509504</v>
      </c>
      <c r="AF48" s="525">
        <f t="shared" si="9"/>
        <v>0.95886792452830161</v>
      </c>
      <c r="AG48" s="635">
        <f>AF51</f>
        <v>0.95580288540081604</v>
      </c>
    </row>
    <row r="49" spans="1:33" ht="15.75" customHeight="1">
      <c r="A49" s="633" t="s">
        <v>12</v>
      </c>
      <c r="B49" s="29" t="s">
        <v>40</v>
      </c>
      <c r="C49" s="622" t="s">
        <v>43</v>
      </c>
      <c r="D49" s="623"/>
      <c r="E49" s="29">
        <v>21.13</v>
      </c>
      <c r="F49" s="531">
        <v>6146</v>
      </c>
      <c r="G49" s="526">
        <f t="shared" si="31"/>
        <v>129864.98</v>
      </c>
      <c r="H49" s="33" t="s">
        <v>57</v>
      </c>
      <c r="I49" s="528">
        <v>10</v>
      </c>
      <c r="J49" s="31">
        <v>3000</v>
      </c>
      <c r="K49" s="12">
        <f t="shared" si="1"/>
        <v>300</v>
      </c>
      <c r="L49" s="528">
        <v>10</v>
      </c>
      <c r="M49" s="13">
        <f t="shared" si="32"/>
        <v>2858.6046511627901</v>
      </c>
      <c r="N49" s="13">
        <f t="shared" si="3"/>
        <v>285.86046511627899</v>
      </c>
      <c r="O49" s="14">
        <f t="shared" si="4"/>
        <v>0</v>
      </c>
      <c r="P49" s="15">
        <f t="shared" si="5"/>
        <v>-14.139534883721012</v>
      </c>
      <c r="Q49" s="525">
        <f t="shared" si="6"/>
        <v>0.95286821705426328</v>
      </c>
      <c r="R49" s="636"/>
      <c r="S49" s="34">
        <v>0.24861111111111112</v>
      </c>
      <c r="T49" s="34">
        <v>0.33819444444444446</v>
      </c>
      <c r="U49" s="526">
        <f t="shared" ref="U49:U50" si="34">(S49-T48)*24*60</f>
        <v>4.9999999999999822</v>
      </c>
      <c r="V49" s="529">
        <f t="shared" si="33"/>
        <v>129.00000000000003</v>
      </c>
      <c r="W49" s="16"/>
      <c r="X49" s="16"/>
      <c r="Y49" s="19"/>
      <c r="Z49" s="19"/>
      <c r="AA49" s="624"/>
      <c r="AB49" s="625"/>
      <c r="AC49" s="18"/>
      <c r="AD49" s="18"/>
      <c r="AE49" s="14">
        <f t="shared" si="8"/>
        <v>-141.39534883720989</v>
      </c>
      <c r="AF49" s="525">
        <f t="shared" si="9"/>
        <v>0.95286821705426339</v>
      </c>
      <c r="AG49" s="636"/>
    </row>
    <row r="50" spans="1:33" ht="15.75" customHeight="1">
      <c r="A50" s="633" t="s">
        <v>12</v>
      </c>
      <c r="B50" s="29" t="s">
        <v>40</v>
      </c>
      <c r="C50" s="622" t="s">
        <v>44</v>
      </c>
      <c r="D50" s="623"/>
      <c r="E50" s="29">
        <v>27.17</v>
      </c>
      <c r="F50" s="531">
        <v>8171</v>
      </c>
      <c r="G50" s="526">
        <f t="shared" si="31"/>
        <v>222006.07</v>
      </c>
      <c r="H50" s="33" t="s">
        <v>57</v>
      </c>
      <c r="I50" s="528">
        <v>10</v>
      </c>
      <c r="J50" s="31">
        <v>3000</v>
      </c>
      <c r="K50" s="12">
        <f t="shared" si="1"/>
        <v>300</v>
      </c>
      <c r="L50" s="528">
        <v>10</v>
      </c>
      <c r="M50" s="13">
        <f t="shared" si="32"/>
        <v>2867.0175438596489</v>
      </c>
      <c r="N50" s="13">
        <f t="shared" si="3"/>
        <v>286.70175438596488</v>
      </c>
      <c r="O50" s="14">
        <f t="shared" si="4"/>
        <v>0</v>
      </c>
      <c r="P50" s="15">
        <f t="shared" si="5"/>
        <v>-13.298245614035125</v>
      </c>
      <c r="Q50" s="525">
        <f t="shared" si="6"/>
        <v>0.9556725146198829</v>
      </c>
      <c r="R50" s="636"/>
      <c r="S50" s="34">
        <v>0.34375</v>
      </c>
      <c r="T50" s="34">
        <v>0.46250000000000002</v>
      </c>
      <c r="U50" s="526">
        <f t="shared" si="34"/>
        <v>7.9999999999999716</v>
      </c>
      <c r="V50" s="529">
        <f t="shared" si="33"/>
        <v>171.00000000000003</v>
      </c>
      <c r="W50" s="16"/>
      <c r="X50" s="16"/>
      <c r="Y50" s="19"/>
      <c r="Z50" s="19"/>
      <c r="AA50" s="624"/>
      <c r="AB50" s="625"/>
      <c r="AC50" s="18"/>
      <c r="AD50" s="18"/>
      <c r="AE50" s="14">
        <f t="shared" si="8"/>
        <v>-132.98245614035113</v>
      </c>
      <c r="AF50" s="525">
        <f t="shared" si="9"/>
        <v>0.95567251461988301</v>
      </c>
      <c r="AG50" s="636"/>
    </row>
    <row r="51" spans="1:33" ht="15.75" customHeight="1">
      <c r="A51" s="634" t="s">
        <v>2686</v>
      </c>
      <c r="B51" s="29" t="s">
        <v>6</v>
      </c>
      <c r="C51" s="612"/>
      <c r="D51" s="613"/>
      <c r="E51" s="523"/>
      <c r="F51" s="531"/>
      <c r="G51" s="526"/>
      <c r="H51" s="531"/>
      <c r="I51" s="23">
        <v>10</v>
      </c>
      <c r="J51" s="31">
        <v>3000</v>
      </c>
      <c r="K51" s="12">
        <f t="shared" si="1"/>
        <v>300</v>
      </c>
      <c r="L51" s="23">
        <v>10</v>
      </c>
      <c r="M51" s="13">
        <f>AVERAGE(M48:M50)</f>
        <v>2867.4086562024481</v>
      </c>
      <c r="N51" s="12">
        <f t="shared" si="3"/>
        <v>286.74086562024479</v>
      </c>
      <c r="O51" s="14">
        <f t="shared" si="4"/>
        <v>0</v>
      </c>
      <c r="P51" s="15">
        <f t="shared" si="5"/>
        <v>-13.25913437975521</v>
      </c>
      <c r="Q51" s="525">
        <f t="shared" si="6"/>
        <v>0.95580288540081593</v>
      </c>
      <c r="R51" s="637"/>
      <c r="S51" s="34"/>
      <c r="T51" s="34"/>
      <c r="U51" s="526"/>
      <c r="V51" s="529"/>
      <c r="W51" s="16"/>
      <c r="X51" s="16"/>
      <c r="Y51" s="24">
        <f>SUM(Y48:Y50)</f>
        <v>0</v>
      </c>
      <c r="Z51" s="24">
        <f>SUM(Z48:Z50)</f>
        <v>0</v>
      </c>
      <c r="AA51" s="628"/>
      <c r="AB51" s="629"/>
      <c r="AC51" s="24">
        <v>3</v>
      </c>
      <c r="AD51" s="24">
        <f>SUM(AD48:AD50)</f>
        <v>0</v>
      </c>
      <c r="AE51" s="14">
        <f t="shared" si="8"/>
        <v>-132.59134379755187</v>
      </c>
      <c r="AF51" s="525">
        <f t="shared" si="9"/>
        <v>0.95580288540081604</v>
      </c>
      <c r="AG51" s="637"/>
    </row>
    <row r="52" spans="1:33" ht="15.75" customHeight="1">
      <c r="A52" s="630" t="s">
        <v>2687</v>
      </c>
      <c r="B52" s="29" t="s">
        <v>15</v>
      </c>
      <c r="C52" s="616" t="s">
        <v>27</v>
      </c>
      <c r="D52" s="616"/>
      <c r="E52" s="29">
        <v>59.04</v>
      </c>
      <c r="F52" s="32">
        <v>2655</v>
      </c>
      <c r="G52" s="526">
        <f t="shared" ref="G52:G58" si="35">E52*F52</f>
        <v>156751.20000000001</v>
      </c>
      <c r="H52" s="33" t="s">
        <v>57</v>
      </c>
      <c r="I52" s="528">
        <v>19</v>
      </c>
      <c r="J52" s="31">
        <v>2000</v>
      </c>
      <c r="K52" s="12">
        <f t="shared" si="1"/>
        <v>105.26315789473684</v>
      </c>
      <c r="L52" s="528">
        <v>19</v>
      </c>
      <c r="M52" s="13">
        <f t="shared" ref="M52" si="36">F52/V52*60</f>
        <v>1919.2771084337353</v>
      </c>
      <c r="N52" s="13">
        <f t="shared" si="3"/>
        <v>101.01458465440712</v>
      </c>
      <c r="O52" s="14">
        <f t="shared" si="4"/>
        <v>0</v>
      </c>
      <c r="P52" s="15">
        <f t="shared" si="5"/>
        <v>-4.2485732403297192</v>
      </c>
      <c r="Q52" s="525">
        <f t="shared" si="6"/>
        <v>0.95963855421686761</v>
      </c>
      <c r="R52" s="615">
        <f>Q59</f>
        <v>0.95780198406620165</v>
      </c>
      <c r="S52" s="34">
        <v>0.16666666666666666</v>
      </c>
      <c r="T52" s="34">
        <v>0.22430555555555554</v>
      </c>
      <c r="U52" s="21"/>
      <c r="V52" s="529">
        <f t="shared" ref="V52:V58" si="37">(T52-S52)*24*60</f>
        <v>82.999999999999986</v>
      </c>
      <c r="W52" s="16">
        <f>T52</f>
        <v>0.22430555555555554</v>
      </c>
      <c r="X52" s="16">
        <f>S53</f>
        <v>0.24374999999999999</v>
      </c>
      <c r="Y52" s="21"/>
      <c r="Z52" s="21"/>
      <c r="AA52" s="617"/>
      <c r="AB52" s="617"/>
      <c r="AC52" s="18">
        <v>7</v>
      </c>
      <c r="AD52" s="18"/>
      <c r="AE52" s="14">
        <f t="shared" si="8"/>
        <v>-80.722891566264707</v>
      </c>
      <c r="AF52" s="525">
        <f t="shared" si="9"/>
        <v>0.95963855421686761</v>
      </c>
      <c r="AG52" s="615">
        <f>AF59</f>
        <v>0.95780198406620165</v>
      </c>
    </row>
    <row r="53" spans="1:33" ht="15.75" customHeight="1">
      <c r="A53" s="630" t="s">
        <v>2687</v>
      </c>
      <c r="B53" s="29" t="s">
        <v>15</v>
      </c>
      <c r="C53" s="616" t="s">
        <v>46</v>
      </c>
      <c r="D53" s="616"/>
      <c r="E53" s="29">
        <v>56.43</v>
      </c>
      <c r="F53" s="32">
        <v>1712</v>
      </c>
      <c r="G53" s="526">
        <f t="shared" si="35"/>
        <v>96608.16</v>
      </c>
      <c r="H53" s="33" t="s">
        <v>57</v>
      </c>
      <c r="I53" s="528">
        <v>22</v>
      </c>
      <c r="J53" s="31">
        <v>2000</v>
      </c>
      <c r="K53" s="12">
        <f t="shared" si="1"/>
        <v>90.909090909090907</v>
      </c>
      <c r="L53" s="528">
        <v>22</v>
      </c>
      <c r="M53" s="13">
        <f>F53/V53*60</f>
        <v>1938.1132075471692</v>
      </c>
      <c r="N53" s="13">
        <f t="shared" si="3"/>
        <v>88.096054888507695</v>
      </c>
      <c r="O53" s="14">
        <f t="shared" si="4"/>
        <v>0</v>
      </c>
      <c r="P53" s="15">
        <f t="shared" si="5"/>
        <v>-2.8130360205832119</v>
      </c>
      <c r="Q53" s="525">
        <f t="shared" si="6"/>
        <v>0.96905660377358471</v>
      </c>
      <c r="R53" s="615"/>
      <c r="S53" s="34">
        <v>0.24374999999999999</v>
      </c>
      <c r="T53" s="34">
        <v>0.28055555555555556</v>
      </c>
      <c r="U53" s="526">
        <f t="shared" ref="U53:U58" si="38">IF(S53=TIME(17,0,0),"",(S53-T52)*24*60)</f>
        <v>28.000000000000021</v>
      </c>
      <c r="V53" s="529">
        <f t="shared" si="37"/>
        <v>53.000000000000014</v>
      </c>
      <c r="W53" s="16"/>
      <c r="X53" s="16"/>
      <c r="Y53" s="16"/>
      <c r="Z53" s="16"/>
      <c r="AA53" s="617"/>
      <c r="AB53" s="617"/>
      <c r="AC53" s="18"/>
      <c r="AD53" s="18"/>
      <c r="AE53" s="14">
        <f t="shared" si="8"/>
        <v>-61.886792452830832</v>
      </c>
      <c r="AF53" s="525">
        <f t="shared" si="9"/>
        <v>0.9690566037735846</v>
      </c>
      <c r="AG53" s="615"/>
    </row>
    <row r="54" spans="1:33" ht="15.75" customHeight="1">
      <c r="A54" s="630" t="s">
        <v>13</v>
      </c>
      <c r="B54" s="29" t="s">
        <v>19</v>
      </c>
      <c r="C54" s="622" t="s">
        <v>81</v>
      </c>
      <c r="D54" s="623"/>
      <c r="E54" s="29">
        <v>46</v>
      </c>
      <c r="F54" s="32">
        <v>3241</v>
      </c>
      <c r="G54" s="526">
        <f t="shared" si="35"/>
        <v>149086</v>
      </c>
      <c r="H54" s="33" t="s">
        <v>57</v>
      </c>
      <c r="I54" s="528">
        <v>16</v>
      </c>
      <c r="J54" s="31">
        <v>2000</v>
      </c>
      <c r="K54" s="12">
        <f t="shared" si="1"/>
        <v>125</v>
      </c>
      <c r="L54" s="528">
        <v>16</v>
      </c>
      <c r="M54" s="13">
        <f t="shared" ref="M54:M58" si="39">F54/V54*60</f>
        <v>1906.4705882352948</v>
      </c>
      <c r="N54" s="13">
        <f t="shared" si="3"/>
        <v>119.15441176470593</v>
      </c>
      <c r="O54" s="14">
        <f t="shared" si="4"/>
        <v>0</v>
      </c>
      <c r="P54" s="15">
        <f t="shared" si="5"/>
        <v>-5.8455882352940733</v>
      </c>
      <c r="Q54" s="525">
        <f t="shared" si="6"/>
        <v>0.9532352941176474</v>
      </c>
      <c r="R54" s="615"/>
      <c r="S54" s="34">
        <v>0.28541666666666665</v>
      </c>
      <c r="T54" s="34">
        <v>0.35624999999999996</v>
      </c>
      <c r="U54" s="526">
        <f t="shared" si="38"/>
        <v>6.9999999999999751</v>
      </c>
      <c r="V54" s="529">
        <f t="shared" si="37"/>
        <v>101.99999999999996</v>
      </c>
      <c r="W54" s="16"/>
      <c r="X54" s="16"/>
      <c r="Y54" s="19"/>
      <c r="Z54" s="19"/>
      <c r="AA54" s="617"/>
      <c r="AB54" s="617"/>
      <c r="AC54" s="18"/>
      <c r="AD54" s="18"/>
      <c r="AE54" s="14">
        <f t="shared" si="8"/>
        <v>-93.529411764705173</v>
      </c>
      <c r="AF54" s="525">
        <f t="shared" si="9"/>
        <v>0.9532352941176474</v>
      </c>
      <c r="AG54" s="615"/>
    </row>
    <row r="55" spans="1:33" ht="15.75" customHeight="1">
      <c r="A55" s="630" t="s">
        <v>13</v>
      </c>
      <c r="B55" s="29" t="s">
        <v>19</v>
      </c>
      <c r="C55" s="519" t="s">
        <v>945</v>
      </c>
      <c r="D55" s="520"/>
      <c r="E55" s="29">
        <v>46</v>
      </c>
      <c r="F55" s="32">
        <v>4059</v>
      </c>
      <c r="G55" s="526">
        <f t="shared" si="35"/>
        <v>186714</v>
      </c>
      <c r="H55" s="33" t="s">
        <v>57</v>
      </c>
      <c r="I55" s="528">
        <v>17</v>
      </c>
      <c r="J55" s="31">
        <v>2000</v>
      </c>
      <c r="K55" s="12">
        <f t="shared" si="1"/>
        <v>117.64705882352941</v>
      </c>
      <c r="L55" s="528">
        <v>17</v>
      </c>
      <c r="M55" s="13">
        <f t="shared" si="39"/>
        <v>1902.6562499999995</v>
      </c>
      <c r="N55" s="13">
        <f t="shared" si="3"/>
        <v>111.92095588235291</v>
      </c>
      <c r="O55" s="14">
        <f t="shared" si="4"/>
        <v>0</v>
      </c>
      <c r="P55" s="15">
        <f t="shared" si="5"/>
        <v>-5.7261029411764923</v>
      </c>
      <c r="Q55" s="525">
        <f t="shared" si="6"/>
        <v>0.95132812499999986</v>
      </c>
      <c r="R55" s="615"/>
      <c r="S55" s="34">
        <v>0.35972222222222217</v>
      </c>
      <c r="T55" s="34">
        <v>0.44861111111111107</v>
      </c>
      <c r="U55" s="526">
        <f t="shared" si="38"/>
        <v>4.9999999999999822</v>
      </c>
      <c r="V55" s="529">
        <f t="shared" si="37"/>
        <v>128.00000000000003</v>
      </c>
      <c r="W55" s="16"/>
      <c r="X55" s="16"/>
      <c r="Y55" s="19"/>
      <c r="Z55" s="19"/>
      <c r="AA55" s="617"/>
      <c r="AB55" s="617"/>
      <c r="AC55" s="18"/>
      <c r="AD55" s="18"/>
      <c r="AE55" s="14">
        <f t="shared" si="8"/>
        <v>-97.343750000000455</v>
      </c>
      <c r="AF55" s="525">
        <f t="shared" si="9"/>
        <v>0.95132812499999975</v>
      </c>
      <c r="AG55" s="615"/>
    </row>
    <row r="56" spans="1:33" ht="15.75" customHeight="1">
      <c r="A56" s="630" t="s">
        <v>13</v>
      </c>
      <c r="B56" s="29" t="s">
        <v>15</v>
      </c>
      <c r="C56" s="519" t="s">
        <v>48</v>
      </c>
      <c r="D56" s="520"/>
      <c r="E56" s="29">
        <v>55.56</v>
      </c>
      <c r="F56" s="32">
        <v>2574</v>
      </c>
      <c r="G56" s="526">
        <f t="shared" si="35"/>
        <v>143011.44</v>
      </c>
      <c r="H56" s="33" t="s">
        <v>57</v>
      </c>
      <c r="I56" s="528">
        <v>17</v>
      </c>
      <c r="J56" s="31">
        <v>2000</v>
      </c>
      <c r="K56" s="12">
        <f t="shared" si="1"/>
        <v>117.64705882352941</v>
      </c>
      <c r="L56" s="528">
        <v>17</v>
      </c>
      <c r="M56" s="13">
        <f t="shared" si="39"/>
        <v>1906.6666666666661</v>
      </c>
      <c r="N56" s="13">
        <f t="shared" si="3"/>
        <v>112.15686274509801</v>
      </c>
      <c r="O56" s="14">
        <f t="shared" si="4"/>
        <v>0</v>
      </c>
      <c r="P56" s="15">
        <f t="shared" si="5"/>
        <v>-5.4901960784313957</v>
      </c>
      <c r="Q56" s="525">
        <f t="shared" si="6"/>
        <v>0.95333333333333314</v>
      </c>
      <c r="R56" s="615"/>
      <c r="S56" s="34">
        <v>0.70833333333333337</v>
      </c>
      <c r="T56" s="34">
        <v>0.76458333333333339</v>
      </c>
      <c r="U56" s="526" t="str">
        <f t="shared" si="38"/>
        <v/>
      </c>
      <c r="V56" s="529">
        <f t="shared" si="37"/>
        <v>81.000000000000028</v>
      </c>
      <c r="W56" s="16"/>
      <c r="X56" s="16"/>
      <c r="Y56" s="19"/>
      <c r="Z56" s="19"/>
      <c r="AA56" s="617"/>
      <c r="AB56" s="617"/>
      <c r="AC56" s="18"/>
      <c r="AD56" s="18"/>
      <c r="AE56" s="14">
        <f t="shared" si="8"/>
        <v>-93.33333333333394</v>
      </c>
      <c r="AF56" s="525">
        <f t="shared" si="9"/>
        <v>0.95333333333333303</v>
      </c>
      <c r="AG56" s="615"/>
    </row>
    <row r="57" spans="1:33" ht="15.75" customHeight="1">
      <c r="A57" s="630" t="s">
        <v>13</v>
      </c>
      <c r="B57" s="29" t="s">
        <v>15</v>
      </c>
      <c r="C57" s="622" t="s">
        <v>841</v>
      </c>
      <c r="D57" s="623"/>
      <c r="E57" s="29">
        <v>54.09</v>
      </c>
      <c r="F57" s="32">
        <v>1668</v>
      </c>
      <c r="G57" s="526">
        <f t="shared" si="35"/>
        <v>90222.12000000001</v>
      </c>
      <c r="H57" s="33" t="s">
        <v>57</v>
      </c>
      <c r="I57" s="528">
        <v>13</v>
      </c>
      <c r="J57" s="31">
        <v>2000</v>
      </c>
      <c r="K57" s="12">
        <f t="shared" si="1"/>
        <v>153.84615384615384</v>
      </c>
      <c r="L57" s="528">
        <v>13</v>
      </c>
      <c r="M57" s="13">
        <f t="shared" si="39"/>
        <v>1924.6153846153857</v>
      </c>
      <c r="N57" s="13">
        <f t="shared" si="3"/>
        <v>148.0473372781066</v>
      </c>
      <c r="O57" s="14">
        <f t="shared" si="4"/>
        <v>0</v>
      </c>
      <c r="P57" s="15">
        <f t="shared" si="5"/>
        <v>-5.7988165680472434</v>
      </c>
      <c r="Q57" s="525">
        <f t="shared" si="6"/>
        <v>0.96230769230769286</v>
      </c>
      <c r="R57" s="615"/>
      <c r="S57" s="34">
        <v>0.77013888888888893</v>
      </c>
      <c r="T57" s="34">
        <v>0.80625000000000002</v>
      </c>
      <c r="U57" s="526">
        <f t="shared" si="38"/>
        <v>7.9999999999999716</v>
      </c>
      <c r="V57" s="529">
        <f t="shared" si="37"/>
        <v>51.999999999999972</v>
      </c>
      <c r="W57" s="16"/>
      <c r="X57" s="16"/>
      <c r="Y57" s="19"/>
      <c r="Z57" s="19"/>
      <c r="AA57" s="624"/>
      <c r="AB57" s="625"/>
      <c r="AC57" s="18"/>
      <c r="AD57" s="18"/>
      <c r="AE57" s="14">
        <f t="shared" si="8"/>
        <v>-75.384615384614335</v>
      </c>
      <c r="AF57" s="525">
        <f t="shared" si="9"/>
        <v>0.96230769230769286</v>
      </c>
      <c r="AG57" s="615"/>
    </row>
    <row r="58" spans="1:33" ht="15.75" customHeight="1">
      <c r="A58" s="630" t="s">
        <v>13</v>
      </c>
      <c r="B58" s="29" t="s">
        <v>15</v>
      </c>
      <c r="C58" s="622" t="s">
        <v>85</v>
      </c>
      <c r="D58" s="623"/>
      <c r="E58" s="29">
        <v>56.43</v>
      </c>
      <c r="F58" s="32">
        <v>1784</v>
      </c>
      <c r="G58" s="526">
        <f t="shared" si="35"/>
        <v>100671.12</v>
      </c>
      <c r="H58" s="33" t="s">
        <v>57</v>
      </c>
      <c r="I58" s="528">
        <v>13</v>
      </c>
      <c r="J58" s="31">
        <v>2000</v>
      </c>
      <c r="K58" s="12">
        <f t="shared" si="1"/>
        <v>153.84615384615384</v>
      </c>
      <c r="L58" s="528">
        <v>13</v>
      </c>
      <c r="M58" s="13">
        <f t="shared" si="39"/>
        <v>1911.4285714285729</v>
      </c>
      <c r="N58" s="13">
        <f t="shared" si="3"/>
        <v>147.03296703296715</v>
      </c>
      <c r="O58" s="14">
        <f t="shared" si="4"/>
        <v>0</v>
      </c>
      <c r="P58" s="15">
        <f t="shared" si="5"/>
        <v>-6.8131868131866895</v>
      </c>
      <c r="Q58" s="525">
        <f t="shared" si="6"/>
        <v>0.95571428571428652</v>
      </c>
      <c r="R58" s="615"/>
      <c r="S58" s="34">
        <v>0.81041666666666667</v>
      </c>
      <c r="T58" s="34">
        <v>0.84930555555555554</v>
      </c>
      <c r="U58" s="526">
        <f t="shared" si="38"/>
        <v>5.9999999999999787</v>
      </c>
      <c r="V58" s="529">
        <f t="shared" si="37"/>
        <v>55.999999999999957</v>
      </c>
      <c r="W58" s="16"/>
      <c r="X58" s="16"/>
      <c r="Y58" s="19"/>
      <c r="Z58" s="19"/>
      <c r="AA58" s="624"/>
      <c r="AB58" s="625"/>
      <c r="AC58" s="18"/>
      <c r="AD58" s="18"/>
      <c r="AE58" s="14">
        <f t="shared" si="8"/>
        <v>-88.571428571427077</v>
      </c>
      <c r="AF58" s="525">
        <f t="shared" si="9"/>
        <v>0.95571428571428652</v>
      </c>
      <c r="AG58" s="615"/>
    </row>
    <row r="59" spans="1:33">
      <c r="A59" s="631" t="s">
        <v>13</v>
      </c>
      <c r="B59" s="29" t="s">
        <v>6</v>
      </c>
      <c r="C59" s="618"/>
      <c r="D59" s="618"/>
      <c r="E59" s="527"/>
      <c r="F59" s="30"/>
      <c r="G59" s="12"/>
      <c r="H59" s="531"/>
      <c r="I59" s="23">
        <v>16.714285714285715</v>
      </c>
      <c r="J59" s="31">
        <v>2000</v>
      </c>
      <c r="K59" s="12">
        <f t="shared" si="1"/>
        <v>119.65811965811965</v>
      </c>
      <c r="L59" s="23">
        <v>16.714285714285715</v>
      </c>
      <c r="M59" s="13">
        <f>AVERAGE(M52:M58)</f>
        <v>1915.6039681324032</v>
      </c>
      <c r="N59" s="12">
        <f t="shared" si="3"/>
        <v>114.60878441817796</v>
      </c>
      <c r="O59" s="14">
        <f t="shared" si="4"/>
        <v>0</v>
      </c>
      <c r="P59" s="15">
        <f t="shared" si="5"/>
        <v>-5.0493352399416835</v>
      </c>
      <c r="Q59" s="525">
        <f t="shared" si="6"/>
        <v>0.95780198406620165</v>
      </c>
      <c r="R59" s="615"/>
      <c r="S59" s="34"/>
      <c r="T59" s="34"/>
      <c r="U59" s="526"/>
      <c r="V59" s="529"/>
      <c r="W59" s="12"/>
      <c r="X59" s="12"/>
      <c r="Y59" s="24">
        <f>SUM(Y52:Y58)</f>
        <v>0</v>
      </c>
      <c r="Z59" s="24">
        <f>SUM(Z52:Z58)</f>
        <v>0</v>
      </c>
      <c r="AA59" s="614"/>
      <c r="AB59" s="614"/>
      <c r="AC59" s="24">
        <v>7</v>
      </c>
      <c r="AD59" s="24">
        <f>SUM(AD52:AD58)</f>
        <v>0</v>
      </c>
      <c r="AE59" s="14">
        <f>M59-J59</f>
        <v>-84.396031867596776</v>
      </c>
      <c r="AF59" s="525">
        <f t="shared" si="9"/>
        <v>0.95780198406620165</v>
      </c>
      <c r="AG59" s="615"/>
    </row>
    <row r="60" spans="1:33" ht="15.75" customHeight="1">
      <c r="A60" s="626" t="s">
        <v>182</v>
      </c>
      <c r="B60" s="531" t="s">
        <v>40</v>
      </c>
      <c r="C60" s="616" t="s">
        <v>42</v>
      </c>
      <c r="D60" s="616"/>
      <c r="E60" s="29">
        <v>35.119999999999997</v>
      </c>
      <c r="F60" s="32">
        <v>6759</v>
      </c>
      <c r="G60" s="526">
        <f t="shared" ref="G60:G63" si="40">E60*F60</f>
        <v>237376.08</v>
      </c>
      <c r="H60" s="33" t="s">
        <v>57</v>
      </c>
      <c r="I60" s="528">
        <v>10</v>
      </c>
      <c r="J60" s="31">
        <v>3000</v>
      </c>
      <c r="K60" s="12">
        <f t="shared" si="1"/>
        <v>300</v>
      </c>
      <c r="L60" s="528">
        <v>10</v>
      </c>
      <c r="M60" s="13">
        <f t="shared" ref="M60:M63" si="41">F60/V60*60</f>
        <v>2855.9154929577458</v>
      </c>
      <c r="N60" s="12">
        <f t="shared" si="3"/>
        <v>285.5915492957746</v>
      </c>
      <c r="O60" s="14">
        <f t="shared" si="4"/>
        <v>0</v>
      </c>
      <c r="P60" s="15">
        <f t="shared" si="5"/>
        <v>-14.408450704225402</v>
      </c>
      <c r="Q60" s="525">
        <f t="shared" si="6"/>
        <v>0.95197183098591531</v>
      </c>
      <c r="R60" s="615">
        <f>Q64</f>
        <v>0.95561527753896347</v>
      </c>
      <c r="S60" s="34">
        <v>0.20833333333333334</v>
      </c>
      <c r="T60" s="34">
        <v>0.30694444444444446</v>
      </c>
      <c r="U60" s="526"/>
      <c r="V60" s="529">
        <f t="shared" ref="V60:V63" si="42">(T60-S60)*24*60</f>
        <v>142.00000000000003</v>
      </c>
      <c r="W60" s="16"/>
      <c r="X60" s="16"/>
      <c r="Y60" s="21"/>
      <c r="Z60" s="21"/>
      <c r="AA60" s="617"/>
      <c r="AB60" s="617"/>
      <c r="AC60" s="18">
        <v>4</v>
      </c>
      <c r="AD60" s="18"/>
      <c r="AE60" s="14">
        <f t="shared" ref="AE60:AE72" si="43">M60-J60</f>
        <v>-144.08450704225424</v>
      </c>
      <c r="AF60" s="525">
        <f t="shared" si="9"/>
        <v>0.9519718309859152</v>
      </c>
      <c r="AG60" s="615">
        <f>AF64</f>
        <v>0.95561527753896336</v>
      </c>
    </row>
    <row r="61" spans="1:33" ht="15.75" customHeight="1">
      <c r="A61" s="626" t="s">
        <v>182</v>
      </c>
      <c r="B61" s="531" t="s">
        <v>40</v>
      </c>
      <c r="C61" s="616" t="s">
        <v>51</v>
      </c>
      <c r="D61" s="616"/>
      <c r="E61" s="29">
        <v>26.78</v>
      </c>
      <c r="F61" s="32">
        <v>2999</v>
      </c>
      <c r="G61" s="526">
        <f t="shared" si="40"/>
        <v>80313.22</v>
      </c>
      <c r="H61" s="33" t="s">
        <v>57</v>
      </c>
      <c r="I61" s="528">
        <v>10</v>
      </c>
      <c r="J61" s="31">
        <v>3000</v>
      </c>
      <c r="K61" s="12">
        <f t="shared" si="1"/>
        <v>300</v>
      </c>
      <c r="L61" s="528">
        <v>10</v>
      </c>
      <c r="M61" s="13">
        <f t="shared" si="41"/>
        <v>2856.1904761904757</v>
      </c>
      <c r="N61" s="12">
        <f t="shared" si="3"/>
        <v>285.61904761904759</v>
      </c>
      <c r="O61" s="14">
        <f t="shared" si="4"/>
        <v>0</v>
      </c>
      <c r="P61" s="15">
        <f t="shared" si="5"/>
        <v>-14.380952380952408</v>
      </c>
      <c r="Q61" s="525">
        <f t="shared" si="6"/>
        <v>0.95206349206349195</v>
      </c>
      <c r="R61" s="615"/>
      <c r="S61" s="34">
        <v>0.31041666666666667</v>
      </c>
      <c r="T61" s="34">
        <v>0.35416666666666669</v>
      </c>
      <c r="U61" s="526">
        <f t="shared" ref="U61:U63" si="44">(S61-T60)*24*60</f>
        <v>4.9999999999999822</v>
      </c>
      <c r="V61" s="529">
        <f t="shared" si="42"/>
        <v>63.000000000000014</v>
      </c>
      <c r="W61" s="526"/>
      <c r="X61" s="526"/>
      <c r="Y61" s="526"/>
      <c r="Z61" s="526"/>
      <c r="AA61" s="617"/>
      <c r="AB61" s="617"/>
      <c r="AC61" s="18"/>
      <c r="AD61" s="18"/>
      <c r="AE61" s="14">
        <f t="shared" si="43"/>
        <v>-143.80952380952431</v>
      </c>
      <c r="AF61" s="525">
        <f t="shared" si="9"/>
        <v>0.95206349206349195</v>
      </c>
      <c r="AG61" s="615"/>
    </row>
    <row r="62" spans="1:33" ht="15.75" customHeight="1">
      <c r="A62" s="626" t="s">
        <v>182</v>
      </c>
      <c r="B62" s="531" t="s">
        <v>40</v>
      </c>
      <c r="C62" s="616" t="s">
        <v>52</v>
      </c>
      <c r="D62" s="616"/>
      <c r="E62" s="29">
        <v>35.869999999999997</v>
      </c>
      <c r="F62" s="32">
        <v>4137</v>
      </c>
      <c r="G62" s="526">
        <f t="shared" si="40"/>
        <v>148394.19</v>
      </c>
      <c r="H62" s="33" t="s">
        <v>57</v>
      </c>
      <c r="I62" s="528">
        <v>9</v>
      </c>
      <c r="J62" s="31">
        <v>3000</v>
      </c>
      <c r="K62" s="12">
        <f t="shared" si="1"/>
        <v>333.33333333333331</v>
      </c>
      <c r="L62" s="528">
        <v>9</v>
      </c>
      <c r="M62" s="13">
        <f t="shared" si="41"/>
        <v>2853.1034482758614</v>
      </c>
      <c r="N62" s="12">
        <f t="shared" si="3"/>
        <v>317.01149425287349</v>
      </c>
      <c r="O62" s="14">
        <f t="shared" si="4"/>
        <v>0</v>
      </c>
      <c r="P62" s="15">
        <f t="shared" si="5"/>
        <v>-16.321839080459824</v>
      </c>
      <c r="Q62" s="525">
        <f t="shared" si="6"/>
        <v>0.95103448275862057</v>
      </c>
      <c r="R62" s="615"/>
      <c r="S62" s="34">
        <v>0.35833333333333334</v>
      </c>
      <c r="T62" s="34">
        <v>0.41875000000000001</v>
      </c>
      <c r="U62" s="526">
        <f t="shared" si="44"/>
        <v>5.9999999999999787</v>
      </c>
      <c r="V62" s="529">
        <f t="shared" si="42"/>
        <v>87.000000000000014</v>
      </c>
      <c r="W62" s="526"/>
      <c r="X62" s="526"/>
      <c r="Y62" s="526"/>
      <c r="Z62" s="526"/>
      <c r="AA62" s="617"/>
      <c r="AB62" s="617"/>
      <c r="AC62" s="18"/>
      <c r="AD62" s="18"/>
      <c r="AE62" s="14">
        <f t="shared" si="43"/>
        <v>-146.89655172413859</v>
      </c>
      <c r="AF62" s="525">
        <f t="shared" si="9"/>
        <v>0.95103448275862046</v>
      </c>
      <c r="AG62" s="615"/>
    </row>
    <row r="63" spans="1:33" ht="15.75" customHeight="1">
      <c r="A63" s="626" t="s">
        <v>182</v>
      </c>
      <c r="B63" s="531" t="s">
        <v>40</v>
      </c>
      <c r="C63" s="616" t="s">
        <v>53</v>
      </c>
      <c r="D63" s="616"/>
      <c r="E63" s="29">
        <v>34.35</v>
      </c>
      <c r="F63" s="32">
        <v>2225</v>
      </c>
      <c r="G63" s="526">
        <f t="shared" si="40"/>
        <v>76428.75</v>
      </c>
      <c r="H63" s="33" t="s">
        <v>57</v>
      </c>
      <c r="I63" s="528">
        <v>8</v>
      </c>
      <c r="J63" s="31">
        <v>3000</v>
      </c>
      <c r="K63" s="12">
        <f t="shared" si="1"/>
        <v>375</v>
      </c>
      <c r="L63" s="528">
        <v>8</v>
      </c>
      <c r="M63" s="13">
        <f t="shared" si="41"/>
        <v>2902.1739130434785</v>
      </c>
      <c r="N63" s="12">
        <f t="shared" si="3"/>
        <v>362.77173913043481</v>
      </c>
      <c r="O63" s="14">
        <f t="shared" si="4"/>
        <v>0</v>
      </c>
      <c r="P63" s="15">
        <f t="shared" si="5"/>
        <v>-12.22826086956519</v>
      </c>
      <c r="Q63" s="525">
        <f t="shared" si="6"/>
        <v>0.96739130434782616</v>
      </c>
      <c r="R63" s="615"/>
      <c r="S63" s="34">
        <v>0.42430555555555555</v>
      </c>
      <c r="T63" s="34">
        <v>0.45624999999999999</v>
      </c>
      <c r="U63" s="526">
        <f t="shared" si="44"/>
        <v>7.9999999999999716</v>
      </c>
      <c r="V63" s="529">
        <f t="shared" si="42"/>
        <v>46</v>
      </c>
      <c r="W63" s="526"/>
      <c r="X63" s="526"/>
      <c r="Y63" s="526"/>
      <c r="Z63" s="526"/>
      <c r="AA63" s="617"/>
      <c r="AB63" s="617"/>
      <c r="AC63" s="18"/>
      <c r="AD63" s="18"/>
      <c r="AE63" s="14">
        <f t="shared" si="43"/>
        <v>-97.826086956521522</v>
      </c>
      <c r="AF63" s="525">
        <f t="shared" si="9"/>
        <v>0.96739130434782616</v>
      </c>
      <c r="AG63" s="615"/>
    </row>
    <row r="64" spans="1:33">
      <c r="A64" s="627" t="s">
        <v>182</v>
      </c>
      <c r="B64" s="29" t="s">
        <v>6</v>
      </c>
      <c r="C64" s="618"/>
      <c r="D64" s="618"/>
      <c r="E64" s="527"/>
      <c r="F64" s="30"/>
      <c r="G64" s="12"/>
      <c r="H64" s="531"/>
      <c r="I64" s="23">
        <v>9.25</v>
      </c>
      <c r="J64" s="31">
        <v>3000</v>
      </c>
      <c r="K64" s="12">
        <f t="shared" si="1"/>
        <v>324.32432432432432</v>
      </c>
      <c r="L64" s="23">
        <v>9.25</v>
      </c>
      <c r="M64" s="13">
        <f>AVERAGE(M60:M63)</f>
        <v>2866.8458326168902</v>
      </c>
      <c r="N64" s="12">
        <f t="shared" si="3"/>
        <v>309.92927920182598</v>
      </c>
      <c r="O64" s="14">
        <f t="shared" si="4"/>
        <v>0</v>
      </c>
      <c r="P64" s="15">
        <f t="shared" si="5"/>
        <v>-14.395045122498345</v>
      </c>
      <c r="Q64" s="525">
        <f t="shared" si="6"/>
        <v>0.95561527753896347</v>
      </c>
      <c r="R64" s="615"/>
      <c r="S64" s="34"/>
      <c r="T64" s="34"/>
      <c r="U64" s="12"/>
      <c r="V64" s="529"/>
      <c r="W64" s="12"/>
      <c r="X64" s="12"/>
      <c r="Y64" s="24">
        <f>SUM(Y60:Y63)</f>
        <v>0</v>
      </c>
      <c r="Z64" s="24">
        <f>SUM(Z60:Z63)</f>
        <v>0</v>
      </c>
      <c r="AA64" s="614"/>
      <c r="AB64" s="614"/>
      <c r="AC64" s="24">
        <v>4</v>
      </c>
      <c r="AD64" s="24">
        <f>SUM(AD60:AD63)</f>
        <v>0</v>
      </c>
      <c r="AE64" s="14">
        <f t="shared" si="43"/>
        <v>-133.15416738310978</v>
      </c>
      <c r="AF64" s="525">
        <f t="shared" si="9"/>
        <v>0.95561527753896336</v>
      </c>
      <c r="AG64" s="615"/>
    </row>
    <row r="65" spans="1:33" ht="15.75" customHeight="1">
      <c r="A65" s="619" t="s">
        <v>14</v>
      </c>
      <c r="B65" s="531" t="s">
        <v>32</v>
      </c>
      <c r="C65" s="616" t="s">
        <v>56</v>
      </c>
      <c r="D65" s="616"/>
      <c r="E65" s="29">
        <v>19.02</v>
      </c>
      <c r="F65" s="531">
        <v>6100</v>
      </c>
      <c r="G65" s="526">
        <f t="shared" ref="G65:G71" si="45">E65*F65</f>
        <v>116022</v>
      </c>
      <c r="H65" s="33">
        <v>2</v>
      </c>
      <c r="I65" s="528">
        <v>14</v>
      </c>
      <c r="J65" s="31">
        <v>2400</v>
      </c>
      <c r="K65" s="12">
        <f t="shared" si="1"/>
        <v>171.42857142857142</v>
      </c>
      <c r="L65" s="528">
        <v>14</v>
      </c>
      <c r="M65" s="13">
        <f t="shared" ref="M65:M71" si="46">F65/V65*60</f>
        <v>2287.5000000000005</v>
      </c>
      <c r="N65" s="12">
        <f t="shared" si="3"/>
        <v>163.39285714285717</v>
      </c>
      <c r="O65" s="14">
        <f t="shared" si="4"/>
        <v>0</v>
      </c>
      <c r="P65" s="15">
        <f t="shared" si="5"/>
        <v>-8.0357142857142492</v>
      </c>
      <c r="Q65" s="525">
        <f t="shared" si="6"/>
        <v>0.95312500000000022</v>
      </c>
      <c r="R65" s="615">
        <f>Q72</f>
        <v>0.95460626891679978</v>
      </c>
      <c r="S65" s="34">
        <v>8.3333333333333329E-2</v>
      </c>
      <c r="T65" s="34">
        <v>0.19444444444444442</v>
      </c>
      <c r="U65" s="21"/>
      <c r="V65" s="529">
        <f t="shared" ref="V65:V71" si="47">(T65-S65)*24*60</f>
        <v>159.99999999999997</v>
      </c>
      <c r="W65" s="16">
        <f>T65</f>
        <v>0.19444444444444442</v>
      </c>
      <c r="X65" s="16">
        <f>S66</f>
        <v>0.21319444444444444</v>
      </c>
      <c r="Y65" s="16"/>
      <c r="Z65" s="16"/>
      <c r="AA65" s="617"/>
      <c r="AB65" s="617"/>
      <c r="AC65" s="18">
        <v>7</v>
      </c>
      <c r="AD65" s="18"/>
      <c r="AE65" s="14">
        <f t="shared" si="43"/>
        <v>-112.49999999999955</v>
      </c>
      <c r="AF65" s="525">
        <f t="shared" si="9"/>
        <v>0.95312500000000022</v>
      </c>
      <c r="AG65" s="615">
        <f>AF72</f>
        <v>0.95460626891679967</v>
      </c>
    </row>
    <row r="66" spans="1:33" ht="15.75" customHeight="1">
      <c r="A66" s="620" t="s">
        <v>14</v>
      </c>
      <c r="B66" s="531" t="s">
        <v>32</v>
      </c>
      <c r="C66" s="616" t="s">
        <v>36</v>
      </c>
      <c r="D66" s="616"/>
      <c r="E66" s="29">
        <v>20.36</v>
      </c>
      <c r="F66" s="531">
        <v>4776</v>
      </c>
      <c r="G66" s="526">
        <f t="shared" si="45"/>
        <v>97239.360000000001</v>
      </c>
      <c r="H66" s="33" t="s">
        <v>57</v>
      </c>
      <c r="I66" s="528">
        <v>17</v>
      </c>
      <c r="J66" s="31">
        <v>2400</v>
      </c>
      <c r="K66" s="12">
        <f t="shared" si="1"/>
        <v>141.1764705882353</v>
      </c>
      <c r="L66" s="528">
        <v>17</v>
      </c>
      <c r="M66" s="13">
        <f t="shared" si="46"/>
        <v>2292.4800000000005</v>
      </c>
      <c r="N66" s="12">
        <f t="shared" si="3"/>
        <v>134.85176470588237</v>
      </c>
      <c r="O66" s="14">
        <f t="shared" si="4"/>
        <v>0</v>
      </c>
      <c r="P66" s="15">
        <f t="shared" si="5"/>
        <v>-6.3247058823529301</v>
      </c>
      <c r="Q66" s="525">
        <f t="shared" si="6"/>
        <v>0.95520000000000005</v>
      </c>
      <c r="R66" s="615"/>
      <c r="S66" s="34">
        <v>0.21319444444444444</v>
      </c>
      <c r="T66" s="34">
        <v>0.3</v>
      </c>
      <c r="U66" s="526">
        <f t="shared" ref="U66:U71" si="48">(S66-T65)*24*60</f>
        <v>27.000000000000025</v>
      </c>
      <c r="V66" s="529">
        <f t="shared" si="47"/>
        <v>124.99999999999999</v>
      </c>
      <c r="W66" s="16"/>
      <c r="X66" s="16"/>
      <c r="Y66" s="16"/>
      <c r="Z66" s="16"/>
      <c r="AA66" s="617"/>
      <c r="AB66" s="617"/>
      <c r="AC66" s="18"/>
      <c r="AD66" s="18"/>
      <c r="AE66" s="14">
        <f t="shared" si="43"/>
        <v>-107.51999999999953</v>
      </c>
      <c r="AF66" s="525">
        <f t="shared" si="9"/>
        <v>0.95520000000000016</v>
      </c>
      <c r="AG66" s="615"/>
    </row>
    <row r="67" spans="1:33" ht="15.75" customHeight="1">
      <c r="A67" s="620" t="s">
        <v>14</v>
      </c>
      <c r="B67" s="531" t="s">
        <v>32</v>
      </c>
      <c r="C67" s="616" t="s">
        <v>54</v>
      </c>
      <c r="D67" s="616"/>
      <c r="E67" s="29">
        <v>20.21</v>
      </c>
      <c r="F67" s="531">
        <v>3240</v>
      </c>
      <c r="G67" s="526">
        <f t="shared" si="45"/>
        <v>65480.4</v>
      </c>
      <c r="H67" s="33" t="s">
        <v>57</v>
      </c>
      <c r="I67" s="528">
        <v>15</v>
      </c>
      <c r="J67" s="31">
        <v>2400</v>
      </c>
      <c r="K67" s="12">
        <f t="shared" si="1"/>
        <v>160</v>
      </c>
      <c r="L67" s="528">
        <v>15</v>
      </c>
      <c r="M67" s="13">
        <f t="shared" si="46"/>
        <v>2287.0588235294113</v>
      </c>
      <c r="N67" s="12">
        <f t="shared" si="3"/>
        <v>152.47058823529409</v>
      </c>
      <c r="O67" s="14">
        <f t="shared" si="4"/>
        <v>0</v>
      </c>
      <c r="P67" s="15">
        <f t="shared" si="5"/>
        <v>-7.5294117647059124</v>
      </c>
      <c r="Q67" s="525">
        <f t="shared" si="6"/>
        <v>0.95294117647058807</v>
      </c>
      <c r="R67" s="615"/>
      <c r="S67" s="34">
        <v>0.3034722222222222</v>
      </c>
      <c r="T67" s="34">
        <v>0.36249999999999999</v>
      </c>
      <c r="U67" s="526">
        <f t="shared" si="48"/>
        <v>4.9999999999999822</v>
      </c>
      <c r="V67" s="529">
        <f t="shared" si="47"/>
        <v>85.000000000000014</v>
      </c>
      <c r="W67" s="16"/>
      <c r="X67" s="16"/>
      <c r="Y67" s="16"/>
      <c r="Z67" s="16"/>
      <c r="AA67" s="617"/>
      <c r="AB67" s="617"/>
      <c r="AC67" s="18"/>
      <c r="AD67" s="18"/>
      <c r="AE67" s="14">
        <f t="shared" si="43"/>
        <v>-112.94117647058874</v>
      </c>
      <c r="AF67" s="525">
        <f t="shared" si="9"/>
        <v>0.95294117647058807</v>
      </c>
      <c r="AG67" s="615"/>
    </row>
    <row r="68" spans="1:33" ht="15.75" customHeight="1">
      <c r="A68" s="620" t="s">
        <v>14</v>
      </c>
      <c r="B68" s="531" t="s">
        <v>32</v>
      </c>
      <c r="C68" s="616" t="s">
        <v>55</v>
      </c>
      <c r="D68" s="616"/>
      <c r="E68" s="29">
        <v>22.69</v>
      </c>
      <c r="F68" s="531">
        <v>3051</v>
      </c>
      <c r="G68" s="526">
        <f t="shared" si="45"/>
        <v>69227.19</v>
      </c>
      <c r="H68" s="33" t="s">
        <v>57</v>
      </c>
      <c r="I68" s="528">
        <v>15</v>
      </c>
      <c r="J68" s="31">
        <v>2400</v>
      </c>
      <c r="K68" s="12">
        <f t="shared" si="1"/>
        <v>160</v>
      </c>
      <c r="L68" s="528">
        <v>15</v>
      </c>
      <c r="M68" s="13">
        <f t="shared" si="46"/>
        <v>2288.2500000000009</v>
      </c>
      <c r="N68" s="12">
        <f t="shared" si="3"/>
        <v>152.55000000000007</v>
      </c>
      <c r="O68" s="14">
        <f t="shared" si="4"/>
        <v>0</v>
      </c>
      <c r="P68" s="15">
        <f t="shared" si="5"/>
        <v>-7.4499999999999318</v>
      </c>
      <c r="Q68" s="525">
        <f t="shared" si="6"/>
        <v>0.95343750000000038</v>
      </c>
      <c r="R68" s="615"/>
      <c r="S68" s="34">
        <v>0.3659722222222222</v>
      </c>
      <c r="T68" s="34">
        <v>0.42152777777777772</v>
      </c>
      <c r="U68" s="526">
        <f t="shared" si="48"/>
        <v>4.9999999999999822</v>
      </c>
      <c r="V68" s="529">
        <f t="shared" si="47"/>
        <v>79.999999999999957</v>
      </c>
      <c r="W68" s="16"/>
      <c r="X68" s="16"/>
      <c r="Y68" s="16"/>
      <c r="Z68" s="16"/>
      <c r="AA68" s="617"/>
      <c r="AB68" s="617"/>
      <c r="AC68" s="18"/>
      <c r="AD68" s="18"/>
      <c r="AE68" s="14">
        <f t="shared" si="43"/>
        <v>-111.74999999999909</v>
      </c>
      <c r="AF68" s="525">
        <f t="shared" si="9"/>
        <v>0.95343750000000038</v>
      </c>
      <c r="AG68" s="615"/>
    </row>
    <row r="69" spans="1:33" ht="15.75" customHeight="1">
      <c r="A69" s="620" t="s">
        <v>14</v>
      </c>
      <c r="B69" s="531" t="s">
        <v>32</v>
      </c>
      <c r="C69" s="616" t="s">
        <v>949</v>
      </c>
      <c r="D69" s="616"/>
      <c r="E69" s="29">
        <v>25.98</v>
      </c>
      <c r="F69" s="531">
        <v>5132</v>
      </c>
      <c r="G69" s="526">
        <f t="shared" si="45"/>
        <v>133329.36000000002</v>
      </c>
      <c r="H69" s="33" t="s">
        <v>57</v>
      </c>
      <c r="I69" s="528">
        <v>17</v>
      </c>
      <c r="J69" s="31">
        <v>2400</v>
      </c>
      <c r="K69" s="12">
        <f t="shared" ref="K69:K72" si="49">J69/I69</f>
        <v>141.1764705882353</v>
      </c>
      <c r="L69" s="528">
        <v>17</v>
      </c>
      <c r="M69" s="13">
        <f t="shared" si="46"/>
        <v>2297.9104477611941</v>
      </c>
      <c r="N69" s="12">
        <f t="shared" ref="N69:N72" si="50">M69/L69</f>
        <v>135.171202809482</v>
      </c>
      <c r="O69" s="14">
        <f t="shared" ref="O69:O72" si="51">L69-I69</f>
        <v>0</v>
      </c>
      <c r="P69" s="15">
        <f t="shared" ref="P69:P72" si="52">N69-K69</f>
        <v>-6.0052677787533071</v>
      </c>
      <c r="Q69" s="525">
        <f t="shared" ref="Q69:Q72" si="53">N69/K69</f>
        <v>0.95746268656716405</v>
      </c>
      <c r="R69" s="615"/>
      <c r="S69" s="34">
        <v>0.42638888888888882</v>
      </c>
      <c r="T69" s="34">
        <v>0.51944444444444438</v>
      </c>
      <c r="U69" s="526">
        <f t="shared" si="48"/>
        <v>6.9999999999999751</v>
      </c>
      <c r="V69" s="529">
        <f t="shared" si="47"/>
        <v>134</v>
      </c>
      <c r="W69" s="16">
        <f>T69</f>
        <v>0.51944444444444438</v>
      </c>
      <c r="X69" s="16">
        <f>S70</f>
        <v>0.5576388888888888</v>
      </c>
      <c r="Y69" s="16"/>
      <c r="Z69" s="16"/>
      <c r="AA69" s="617"/>
      <c r="AB69" s="617"/>
      <c r="AC69" s="18"/>
      <c r="AD69" s="18"/>
      <c r="AE69" s="14">
        <f t="shared" si="43"/>
        <v>-102.08955223880594</v>
      </c>
      <c r="AF69" s="525">
        <f t="shared" ref="AF69:AF72" si="54">M69/J69</f>
        <v>0.95746268656716416</v>
      </c>
      <c r="AG69" s="615"/>
    </row>
    <row r="70" spans="1:33" ht="15.75" customHeight="1">
      <c r="A70" s="620" t="s">
        <v>14</v>
      </c>
      <c r="B70" s="531" t="s">
        <v>32</v>
      </c>
      <c r="C70" s="616" t="s">
        <v>37</v>
      </c>
      <c r="D70" s="616"/>
      <c r="E70" s="29">
        <v>24.43</v>
      </c>
      <c r="F70" s="531">
        <v>3272</v>
      </c>
      <c r="G70" s="526">
        <f t="shared" si="45"/>
        <v>79934.959999999992</v>
      </c>
      <c r="H70" s="33" t="s">
        <v>57</v>
      </c>
      <c r="I70" s="528">
        <v>14</v>
      </c>
      <c r="J70" s="31">
        <v>2400</v>
      </c>
      <c r="K70" s="12">
        <f t="shared" si="49"/>
        <v>171.42857142857142</v>
      </c>
      <c r="L70" s="528">
        <v>14</v>
      </c>
      <c r="M70" s="13">
        <f t="shared" si="46"/>
        <v>2282.7906976744184</v>
      </c>
      <c r="N70" s="12">
        <f t="shared" si="50"/>
        <v>163.0564784053156</v>
      </c>
      <c r="O70" s="14">
        <f t="shared" si="51"/>
        <v>0</v>
      </c>
      <c r="P70" s="15">
        <f t="shared" si="52"/>
        <v>-8.3720930232558146</v>
      </c>
      <c r="Q70" s="525">
        <f t="shared" si="53"/>
        <v>0.9511627906976744</v>
      </c>
      <c r="R70" s="615"/>
      <c r="S70" s="34">
        <v>0.5576388888888888</v>
      </c>
      <c r="T70" s="34">
        <v>0.61736111111111103</v>
      </c>
      <c r="U70" s="526">
        <f t="shared" si="48"/>
        <v>54.999999999999964</v>
      </c>
      <c r="V70" s="529">
        <f t="shared" si="47"/>
        <v>86.000000000000014</v>
      </c>
      <c r="W70" s="16"/>
      <c r="X70" s="16"/>
      <c r="Y70" s="16"/>
      <c r="Z70" s="16"/>
      <c r="AA70" s="617"/>
      <c r="AB70" s="617"/>
      <c r="AC70" s="18"/>
      <c r="AD70" s="18"/>
      <c r="AE70" s="14">
        <f t="shared" si="43"/>
        <v>-117.20930232558158</v>
      </c>
      <c r="AF70" s="525">
        <f t="shared" si="54"/>
        <v>0.9511627906976744</v>
      </c>
      <c r="AG70" s="615"/>
    </row>
    <row r="71" spans="1:33" ht="15.75" customHeight="1">
      <c r="A71" s="620" t="s">
        <v>14</v>
      </c>
      <c r="B71" s="531" t="s">
        <v>32</v>
      </c>
      <c r="C71" s="622" t="s">
        <v>56</v>
      </c>
      <c r="D71" s="623"/>
      <c r="E71" s="29">
        <v>19.02</v>
      </c>
      <c r="F71" s="531">
        <v>4948</v>
      </c>
      <c r="G71" s="526">
        <f t="shared" si="45"/>
        <v>94110.959999999992</v>
      </c>
      <c r="H71" s="33" t="s">
        <v>57</v>
      </c>
      <c r="I71" s="528">
        <v>14</v>
      </c>
      <c r="J71" s="31">
        <v>2400</v>
      </c>
      <c r="K71" s="12">
        <f t="shared" si="49"/>
        <v>171.42857142857142</v>
      </c>
      <c r="L71" s="528">
        <v>14</v>
      </c>
      <c r="M71" s="13">
        <f t="shared" si="46"/>
        <v>2301.3953488372085</v>
      </c>
      <c r="N71" s="12">
        <f t="shared" si="50"/>
        <v>164.38538205980061</v>
      </c>
      <c r="O71" s="14">
        <f t="shared" si="51"/>
        <v>0</v>
      </c>
      <c r="P71" s="15">
        <f t="shared" si="52"/>
        <v>-7.0431893687708111</v>
      </c>
      <c r="Q71" s="525">
        <f t="shared" si="53"/>
        <v>0.95891472868217031</v>
      </c>
      <c r="R71" s="615"/>
      <c r="S71" s="34">
        <v>0.62291666666666656</v>
      </c>
      <c r="T71" s="34">
        <v>0.71249999999999991</v>
      </c>
      <c r="U71" s="526">
        <f t="shared" si="48"/>
        <v>7.9999999999999716</v>
      </c>
      <c r="V71" s="529">
        <f t="shared" si="47"/>
        <v>129.00000000000003</v>
      </c>
      <c r="W71" s="16"/>
      <c r="X71" s="16"/>
      <c r="Y71" s="19"/>
      <c r="Z71" s="19"/>
      <c r="AA71" s="624"/>
      <c r="AB71" s="625"/>
      <c r="AC71" s="18"/>
      <c r="AD71" s="18"/>
      <c r="AE71" s="14">
        <f t="shared" si="43"/>
        <v>-98.60465116279147</v>
      </c>
      <c r="AF71" s="525">
        <f t="shared" si="54"/>
        <v>0.9589147286821702</v>
      </c>
      <c r="AG71" s="615"/>
    </row>
    <row r="72" spans="1:33" ht="16.5" customHeight="1">
      <c r="A72" s="621" t="s">
        <v>14</v>
      </c>
      <c r="B72" s="29" t="s">
        <v>6</v>
      </c>
      <c r="C72" s="612"/>
      <c r="D72" s="613"/>
      <c r="E72" s="527"/>
      <c r="F72" s="30"/>
      <c r="G72" s="12"/>
      <c r="H72" s="531"/>
      <c r="I72" s="23">
        <v>15.142857142857142</v>
      </c>
      <c r="J72" s="31">
        <v>2400</v>
      </c>
      <c r="K72" s="12">
        <f t="shared" si="49"/>
        <v>158.49056603773585</v>
      </c>
      <c r="L72" s="23">
        <v>15.142857142857142</v>
      </c>
      <c r="M72" s="13">
        <f>AVERAGE(M65:M71)</f>
        <v>2291.0550454003192</v>
      </c>
      <c r="N72" s="12">
        <f t="shared" si="50"/>
        <v>151.29608790379467</v>
      </c>
      <c r="O72" s="14">
        <f t="shared" si="51"/>
        <v>0</v>
      </c>
      <c r="P72" s="15">
        <f t="shared" si="52"/>
        <v>-7.1944781339411747</v>
      </c>
      <c r="Q72" s="525">
        <f t="shared" si="53"/>
        <v>0.95460626891679978</v>
      </c>
      <c r="R72" s="615"/>
      <c r="S72" s="34"/>
      <c r="T72" s="34"/>
      <c r="U72" s="12"/>
      <c r="V72" s="529"/>
      <c r="W72" s="12"/>
      <c r="X72" s="12"/>
      <c r="Y72" s="24">
        <f>SUM(Y65:Y71)</f>
        <v>0</v>
      </c>
      <c r="Z72" s="24">
        <f>SUM(Z65:Z71)</f>
        <v>0</v>
      </c>
      <c r="AA72" s="614"/>
      <c r="AB72" s="614"/>
      <c r="AC72" s="24">
        <v>7</v>
      </c>
      <c r="AD72" s="24">
        <f>SUM(AD65:AD71)</f>
        <v>0</v>
      </c>
      <c r="AE72" s="14">
        <f t="shared" si="43"/>
        <v>-108.94495459968084</v>
      </c>
      <c r="AF72" s="525">
        <f t="shared" si="54"/>
        <v>0.95460626891679967</v>
      </c>
      <c r="AG72" s="615"/>
    </row>
    <row r="73" spans="1:33">
      <c r="D73" s="25"/>
      <c r="E73" s="25"/>
    </row>
  </sheetData>
  <mergeCells count="191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31:A39"/>
    <mergeCell ref="C31:D31"/>
    <mergeCell ref="R31:R39"/>
    <mergeCell ref="AA31:AB31"/>
    <mergeCell ref="C39:D39"/>
    <mergeCell ref="AA39:AB39"/>
    <mergeCell ref="A40:A47"/>
    <mergeCell ref="C40:D40"/>
    <mergeCell ref="R40:R47"/>
    <mergeCell ref="AA40:AB40"/>
    <mergeCell ref="AA45:AB45"/>
    <mergeCell ref="C46:D46"/>
    <mergeCell ref="AA46:AB46"/>
    <mergeCell ref="C47:D47"/>
    <mergeCell ref="AA47:AB47"/>
    <mergeCell ref="A48:A51"/>
    <mergeCell ref="C48:D48"/>
    <mergeCell ref="R48:R51"/>
    <mergeCell ref="AA48:AB48"/>
    <mergeCell ref="AG48:AG51"/>
    <mergeCell ref="C49:D49"/>
    <mergeCell ref="AA49:AB49"/>
    <mergeCell ref="C50:D50"/>
    <mergeCell ref="AA50:AB50"/>
    <mergeCell ref="AG40:AG47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C51:D51"/>
    <mergeCell ref="AA51:AB51"/>
    <mergeCell ref="A52:A59"/>
    <mergeCell ref="C52:D52"/>
    <mergeCell ref="R52:R59"/>
    <mergeCell ref="AA52:AB52"/>
    <mergeCell ref="AA58:AB58"/>
    <mergeCell ref="C59:D59"/>
    <mergeCell ref="AA59:AB59"/>
    <mergeCell ref="AG60:AG64"/>
    <mergeCell ref="C61:D61"/>
    <mergeCell ref="AA61:AB61"/>
    <mergeCell ref="C62:D62"/>
    <mergeCell ref="AA62:AB62"/>
    <mergeCell ref="C63:D63"/>
    <mergeCell ref="AG52:AG59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AA63:AB63"/>
    <mergeCell ref="C64:D64"/>
    <mergeCell ref="AA64:AB64"/>
    <mergeCell ref="A65:A72"/>
    <mergeCell ref="C65:D65"/>
    <mergeCell ref="R65:R72"/>
    <mergeCell ref="AA65:AB65"/>
    <mergeCell ref="AA70:AB70"/>
    <mergeCell ref="C71:D71"/>
    <mergeCell ref="AA71:AB71"/>
    <mergeCell ref="A60:A64"/>
    <mergeCell ref="C60:D60"/>
    <mergeCell ref="R60:R64"/>
    <mergeCell ref="AA60:AB60"/>
    <mergeCell ref="C72:D72"/>
    <mergeCell ref="AA72:AB72"/>
    <mergeCell ref="AG65:AG72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</mergeCells>
  <phoneticPr fontId="3" type="noConversion"/>
  <conditionalFormatting sqref="O63:O70 O59:O60 O72 O5:O10 O15:O17 O23:O57">
    <cfRule type="cellIs" dxfId="1844" priority="51" operator="greaterThan">
      <formula>0</formula>
    </cfRule>
  </conditionalFormatting>
  <conditionalFormatting sqref="P5:P8 P63 AE63 P65:P70 P31:P38 P60 P10 P15:P17 P24:P29 P52:P57 P40:P50 AE5:AE60 AE65:AE72">
    <cfRule type="cellIs" dxfId="1843" priority="55" operator="lessThan">
      <formula>0</formula>
    </cfRule>
  </conditionalFormatting>
  <conditionalFormatting sqref="AF63 Q63:Q70 Q59:Q60 Q72 Q5:Q10 Q15:Q17 Q23:Q57 AF5:AF60 AF65:AF72">
    <cfRule type="cellIs" dxfId="1842" priority="52" operator="greaterThan">
      <formula>1</formula>
    </cfRule>
    <cfRule type="cellIs" dxfId="1841" priority="53" operator="lessThan">
      <formula>0.8</formula>
    </cfRule>
  </conditionalFormatting>
  <conditionalFormatting sqref="AG16:AG17 R16:R17 AG63 R63:R70 AG59:AG60 R59:R60 R72 AG5:AG10 R5:R10 AG23:AG57 R23:R57">
    <cfRule type="cellIs" dxfId="1840" priority="57" operator="lessThan">
      <formula>0.8</formula>
    </cfRule>
  </conditionalFormatting>
  <conditionalFormatting sqref="AG48">
    <cfRule type="cellIs" dxfId="1839" priority="59" operator="lessThan">
      <formula>0.8</formula>
    </cfRule>
  </conditionalFormatting>
  <conditionalFormatting sqref="AG24:AG29">
    <cfRule type="cellIs" dxfId="1838" priority="56" operator="lessThan">
      <formula>0.8</formula>
    </cfRule>
  </conditionalFormatting>
  <conditionalFormatting sqref="AG31">
    <cfRule type="cellIs" dxfId="1837" priority="58" operator="lessThan">
      <formula>0.8</formula>
    </cfRule>
  </conditionalFormatting>
  <conditionalFormatting sqref="AG40:AG46">
    <cfRule type="cellIs" dxfId="1836" priority="54" operator="lessThan">
      <formula>0.8</formula>
    </cfRule>
  </conditionalFormatting>
  <conditionalFormatting sqref="AE64">
    <cfRule type="cellIs" dxfId="1835" priority="50" operator="lessThan">
      <formula>0</formula>
    </cfRule>
  </conditionalFormatting>
  <conditionalFormatting sqref="AF64">
    <cfRule type="cellIs" dxfId="1834" priority="48" operator="greaterThan">
      <formula>1</formula>
    </cfRule>
    <cfRule type="cellIs" dxfId="1833" priority="49" operator="lessThan">
      <formula>0.8</formula>
    </cfRule>
  </conditionalFormatting>
  <conditionalFormatting sqref="O18:O19">
    <cfRule type="cellIs" dxfId="1832" priority="43" operator="greaterThan">
      <formula>0</formula>
    </cfRule>
  </conditionalFormatting>
  <conditionalFormatting sqref="P18:P19">
    <cfRule type="cellIs" dxfId="1831" priority="46" operator="lessThan">
      <formula>0</formula>
    </cfRule>
  </conditionalFormatting>
  <conditionalFormatting sqref="Q18:Q19">
    <cfRule type="cellIs" dxfId="1830" priority="44" operator="greaterThan">
      <formula>1</formula>
    </cfRule>
    <cfRule type="cellIs" dxfId="1829" priority="45" operator="lessThan">
      <formula>0.8</formula>
    </cfRule>
  </conditionalFormatting>
  <conditionalFormatting sqref="R18:R19 AG18:AG19">
    <cfRule type="cellIs" dxfId="1828" priority="47" operator="lessThan">
      <formula>0.8</formula>
    </cfRule>
  </conditionalFormatting>
  <conditionalFormatting sqref="O11:O14">
    <cfRule type="cellIs" dxfId="1827" priority="39" operator="greaterThan">
      <formula>0</formula>
    </cfRule>
  </conditionalFormatting>
  <conditionalFormatting sqref="P11:P14">
    <cfRule type="cellIs" dxfId="1826" priority="42" operator="lessThan">
      <formula>0</formula>
    </cfRule>
  </conditionalFormatting>
  <conditionalFormatting sqref="Q11:Q14">
    <cfRule type="cellIs" dxfId="1825" priority="40" operator="greaterThan">
      <formula>1</formula>
    </cfRule>
    <cfRule type="cellIs" dxfId="1824" priority="41" operator="lessThan">
      <formula>0.8</formula>
    </cfRule>
  </conditionalFormatting>
  <conditionalFormatting sqref="O58">
    <cfRule type="cellIs" dxfId="1823" priority="34" operator="greaterThan">
      <formula>0</formula>
    </cfRule>
  </conditionalFormatting>
  <conditionalFormatting sqref="P58">
    <cfRule type="cellIs" dxfId="1822" priority="37" operator="lessThan">
      <formula>0</formula>
    </cfRule>
  </conditionalFormatting>
  <conditionalFormatting sqref="Q58">
    <cfRule type="cellIs" dxfId="1821" priority="35" operator="greaterThan">
      <formula>1</formula>
    </cfRule>
    <cfRule type="cellIs" dxfId="1820" priority="36" operator="lessThan">
      <formula>0.8</formula>
    </cfRule>
  </conditionalFormatting>
  <conditionalFormatting sqref="R58 AG58">
    <cfRule type="cellIs" dxfId="1819" priority="38" operator="lessThan">
      <formula>0.8</formula>
    </cfRule>
  </conditionalFormatting>
  <conditionalFormatting sqref="O62">
    <cfRule type="cellIs" dxfId="1818" priority="29" operator="greaterThan">
      <formula>0</formula>
    </cfRule>
  </conditionalFormatting>
  <conditionalFormatting sqref="P62 AE62">
    <cfRule type="cellIs" dxfId="1817" priority="32" operator="lessThan">
      <formula>0</formula>
    </cfRule>
  </conditionalFormatting>
  <conditionalFormatting sqref="Q62 AF62">
    <cfRule type="cellIs" dxfId="1816" priority="30" operator="greaterThan">
      <formula>1</formula>
    </cfRule>
    <cfRule type="cellIs" dxfId="1815" priority="31" operator="lessThan">
      <formula>0.8</formula>
    </cfRule>
  </conditionalFormatting>
  <conditionalFormatting sqref="R62 AG62">
    <cfRule type="cellIs" dxfId="1814" priority="33" operator="lessThan">
      <formula>0.8</formula>
    </cfRule>
  </conditionalFormatting>
  <conditionalFormatting sqref="O71">
    <cfRule type="cellIs" dxfId="1813" priority="24" operator="greaterThan">
      <formula>0</formula>
    </cfRule>
  </conditionalFormatting>
  <conditionalFormatting sqref="P71">
    <cfRule type="cellIs" dxfId="1812" priority="27" operator="lessThan">
      <formula>0</formula>
    </cfRule>
  </conditionalFormatting>
  <conditionalFormatting sqref="Q71">
    <cfRule type="cellIs" dxfId="1811" priority="25" operator="greaterThan">
      <formula>1</formula>
    </cfRule>
    <cfRule type="cellIs" dxfId="1810" priority="26" operator="lessThan">
      <formula>0.8</formula>
    </cfRule>
  </conditionalFormatting>
  <conditionalFormatting sqref="R71">
    <cfRule type="cellIs" dxfId="1809" priority="28" operator="lessThan">
      <formula>0.8</formula>
    </cfRule>
  </conditionalFormatting>
  <conditionalFormatting sqref="O20:O21">
    <cfRule type="cellIs" dxfId="1808" priority="19" operator="greaterThan">
      <formula>0</formula>
    </cfRule>
  </conditionalFormatting>
  <conditionalFormatting sqref="P20:P21">
    <cfRule type="cellIs" dxfId="1807" priority="22" operator="lessThan">
      <formula>0</formula>
    </cfRule>
  </conditionalFormatting>
  <conditionalFormatting sqref="Q20:Q21">
    <cfRule type="cellIs" dxfId="1806" priority="20" operator="greaterThan">
      <formula>1</formula>
    </cfRule>
    <cfRule type="cellIs" dxfId="1805" priority="21" operator="lessThan">
      <formula>0.8</formula>
    </cfRule>
  </conditionalFormatting>
  <conditionalFormatting sqref="R20:R21 AG20:AG21">
    <cfRule type="cellIs" dxfId="1804" priority="23" operator="lessThan">
      <formula>0.8</formula>
    </cfRule>
  </conditionalFormatting>
  <conditionalFormatting sqref="O61">
    <cfRule type="cellIs" dxfId="1803" priority="14" operator="greaterThan">
      <formula>0</formula>
    </cfRule>
  </conditionalFormatting>
  <conditionalFormatting sqref="P61 AE61">
    <cfRule type="cellIs" dxfId="1802" priority="17" operator="lessThan">
      <formula>0</formula>
    </cfRule>
  </conditionalFormatting>
  <conditionalFormatting sqref="Q61 AF61">
    <cfRule type="cellIs" dxfId="1801" priority="15" operator="greaterThan">
      <formula>1</formula>
    </cfRule>
    <cfRule type="cellIs" dxfId="1800" priority="16" operator="lessThan">
      <formula>0.8</formula>
    </cfRule>
  </conditionalFormatting>
  <conditionalFormatting sqref="R61 AG61">
    <cfRule type="cellIs" dxfId="1799" priority="18" operator="lessThan">
      <formula>0.8</formula>
    </cfRule>
  </conditionalFormatting>
  <conditionalFormatting sqref="O22">
    <cfRule type="cellIs" dxfId="1798" priority="9" operator="greaterThan">
      <formula>0</formula>
    </cfRule>
  </conditionalFormatting>
  <conditionalFormatting sqref="P22">
    <cfRule type="cellIs" dxfId="1797" priority="12" operator="lessThan">
      <formula>0</formula>
    </cfRule>
  </conditionalFormatting>
  <conditionalFormatting sqref="Q22">
    <cfRule type="cellIs" dxfId="1796" priority="10" operator="greaterThan">
      <formula>1</formula>
    </cfRule>
    <cfRule type="cellIs" dxfId="1795" priority="11" operator="lessThan">
      <formula>0.8</formula>
    </cfRule>
  </conditionalFormatting>
  <conditionalFormatting sqref="AG22 R22">
    <cfRule type="cellIs" dxfId="1794" priority="13" operator="lessThan">
      <formula>0.8</formula>
    </cfRule>
  </conditionalFormatting>
  <conditionalFormatting sqref="P9">
    <cfRule type="cellIs" dxfId="1793" priority="8" operator="lessThan">
      <formula>0</formula>
    </cfRule>
  </conditionalFormatting>
  <conditionalFormatting sqref="P23">
    <cfRule type="cellIs" dxfId="1792" priority="7" operator="lessThan">
      <formula>0</formula>
    </cfRule>
  </conditionalFormatting>
  <conditionalFormatting sqref="P30">
    <cfRule type="cellIs" dxfId="1791" priority="6" operator="lessThan">
      <formula>0</formula>
    </cfRule>
  </conditionalFormatting>
  <conditionalFormatting sqref="P39">
    <cfRule type="cellIs" dxfId="1790" priority="5" operator="lessThan">
      <formula>0</formula>
    </cfRule>
  </conditionalFormatting>
  <conditionalFormatting sqref="P51">
    <cfRule type="cellIs" dxfId="1789" priority="4" operator="lessThan">
      <formula>0</formula>
    </cfRule>
  </conditionalFormatting>
  <conditionalFormatting sqref="P59">
    <cfRule type="cellIs" dxfId="1788" priority="3" operator="lessThan">
      <formula>0</formula>
    </cfRule>
  </conditionalFormatting>
  <conditionalFormatting sqref="P64">
    <cfRule type="cellIs" dxfId="1787" priority="2" operator="lessThan">
      <formula>0</formula>
    </cfRule>
  </conditionalFormatting>
  <conditionalFormatting sqref="P72">
    <cfRule type="cellIs" dxfId="1786" priority="1" operator="lessThan">
      <formula>0</formula>
    </cfRule>
  </conditionalFormatting>
  <dataValidations count="1">
    <dataValidation type="list" allowBlank="1" showInputMessage="1" showErrorMessage="1" sqref="AB9 AA5:AB8 AA9:AA63 AB11:AB60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13" sqref="I1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2495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2496</v>
      </c>
      <c r="C3" s="601" t="str">
        <f>TEXT('0628 4度C'!A2,"yyyy.mm.ddaaaa")</f>
        <v>2026.06.28星期日</v>
      </c>
      <c r="D3" s="602"/>
      <c r="E3" s="39" t="s">
        <v>2497</v>
      </c>
      <c r="F3" s="603">
        <f>'0628 4度C'!D1</f>
        <v>206309</v>
      </c>
      <c r="G3" s="604"/>
      <c r="H3" s="39" t="s">
        <v>2498</v>
      </c>
      <c r="I3" s="605">
        <f>'0628 4度C'!F1</f>
        <v>7066147.209999999</v>
      </c>
      <c r="J3" s="606"/>
      <c r="K3" s="40"/>
      <c r="L3" s="41"/>
      <c r="M3" s="42"/>
      <c r="N3" s="42"/>
    </row>
    <row r="4" spans="2:17" ht="28.5" customHeight="1">
      <c r="B4" s="607" t="s">
        <v>2499</v>
      </c>
      <c r="C4" s="593" t="s">
        <v>2500</v>
      </c>
      <c r="D4" s="594"/>
      <c r="E4" s="610" t="s">
        <v>2501</v>
      </c>
      <c r="F4" s="611"/>
      <c r="G4" s="610" t="s">
        <v>2502</v>
      </c>
      <c r="H4" s="611"/>
      <c r="I4" s="610" t="s">
        <v>2503</v>
      </c>
      <c r="J4" s="611"/>
      <c r="K4" s="591" t="s">
        <v>2504</v>
      </c>
      <c r="L4" s="592"/>
      <c r="M4" s="592" t="s">
        <v>2505</v>
      </c>
      <c r="N4" s="592"/>
    </row>
    <row r="5" spans="2:17" ht="28.5" customHeight="1">
      <c r="B5" s="608"/>
      <c r="C5" s="593" t="s">
        <v>2506</v>
      </c>
      <c r="D5" s="594"/>
      <c r="E5" s="593" t="s">
        <v>2507</v>
      </c>
      <c r="F5" s="594"/>
      <c r="G5" s="595" t="s">
        <v>2508</v>
      </c>
      <c r="H5" s="596"/>
      <c r="I5" s="597" t="s">
        <v>2509</v>
      </c>
      <c r="J5" s="598"/>
      <c r="K5" s="43" t="s">
        <v>2510</v>
      </c>
      <c r="L5" s="44" t="s">
        <v>2511</v>
      </c>
      <c r="M5" s="43" t="s">
        <v>2510</v>
      </c>
      <c r="N5" s="44" t="s">
        <v>2512</v>
      </c>
    </row>
    <row r="6" spans="2:17" ht="28.5" customHeight="1">
      <c r="B6" s="608"/>
      <c r="C6" s="593" t="s">
        <v>58</v>
      </c>
      <c r="D6" s="594"/>
      <c r="E6" s="585">
        <f>AVERAGE(D13:M13)</f>
        <v>158.28246190305381</v>
      </c>
      <c r="F6" s="586">
        <f>AVERAGE(D31:O31,D13:J13)</f>
        <v>167.00517938665598</v>
      </c>
      <c r="G6" s="587">
        <f>AVERAGE(D13:J13)</f>
        <v>167.00517938665598</v>
      </c>
      <c r="H6" s="588"/>
      <c r="I6" s="587">
        <f>AVERAGE(K13:M13)</f>
        <v>137.92945444131544</v>
      </c>
      <c r="J6" s="588"/>
      <c r="K6" s="589">
        <f>'0628 4度C'!Y2</f>
        <v>0</v>
      </c>
      <c r="L6" s="574">
        <f>'0628 4度C'!Z2</f>
        <v>0</v>
      </c>
      <c r="M6" s="590">
        <f>'0628 4度C'!AC2</f>
        <v>61</v>
      </c>
      <c r="N6" s="574">
        <f>'0628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151.54344800732855</v>
      </c>
      <c r="F7" s="578">
        <f>AVERAGE(D32:O32,D14:J14)</f>
        <v>159.9513252648257</v>
      </c>
      <c r="G7" s="579">
        <f>AVERAGE(D14:J14)</f>
        <v>159.9513252648257</v>
      </c>
      <c r="H7" s="580"/>
      <c r="I7" s="579">
        <f>AVERAGE(K14:M14)</f>
        <v>131.92506773983516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0.95744022227717485</v>
      </c>
      <c r="F8" s="582">
        <f>AVERAGE(D15:J15,D33:O33)</f>
        <v>0.95787513365146559</v>
      </c>
      <c r="G8" s="583">
        <f>AVERAGE(D15:J15)</f>
        <v>0.95787513365146559</v>
      </c>
      <c r="H8" s="584"/>
      <c r="I8" s="583">
        <f>AVERAGE(K15:M15)</f>
        <v>0.95642542907049632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2513</v>
      </c>
      <c r="N9" s="42"/>
      <c r="O9" s="42"/>
      <c r="P9" s="42"/>
      <c r="Q9" s="42"/>
    </row>
    <row r="10" spans="2:17" ht="30" customHeight="1">
      <c r="B10" s="557" t="s">
        <v>2514</v>
      </c>
      <c r="C10" s="558"/>
      <c r="D10" s="559" t="s">
        <v>2515</v>
      </c>
      <c r="E10" s="560"/>
      <c r="F10" s="560"/>
      <c r="G10" s="560"/>
      <c r="H10" s="560"/>
      <c r="I10" s="560"/>
      <c r="J10" s="561"/>
      <c r="K10" s="562" t="s">
        <v>2516</v>
      </c>
      <c r="L10" s="563"/>
      <c r="M10" s="564"/>
      <c r="P10" s="48"/>
      <c r="Q10" s="48"/>
    </row>
    <row r="11" spans="2:17" ht="17.25" customHeight="1">
      <c r="B11" s="565" t="s">
        <v>2517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2518</v>
      </c>
      <c r="C13" s="55" t="s">
        <v>2519</v>
      </c>
      <c r="D13" s="56">
        <f>SUMIFS('0628 4度C'!$K:$K,'0628 4度C'!$A:$A,"新豐6線",'0628 4度C'!$B:$B,"平均")</f>
        <v>129.03225806451613</v>
      </c>
      <c r="E13" s="57">
        <f>SUMIFS('0628 4度C'!$K:$K,'0628 4度C'!$A:$A,"新豐2線",'0628 4度C'!$B:$B,"平均")</f>
        <v>88.235294117647058</v>
      </c>
      <c r="F13" s="58">
        <f>SUMIFS('0628 4度C'!$K:$K,'0628 4度C'!$A:$A,"新豐5線",'0628 4度C'!$B:$B,"平均")</f>
        <v>87.786259541984734</v>
      </c>
      <c r="G13" s="58">
        <f>SUMIFS('0628 4度C'!$K:$K,'0628 4度C'!$A:$A,"新豐7線",'0628 4度C'!$B:$B,"平均")</f>
        <v>119.99999999999999</v>
      </c>
      <c r="H13" s="58">
        <f>SUMIFS('0628 4度C'!$K:$K,'0628 4度C'!$A:$A,"新豐3線",'0628 4度C'!$B:$B,"平均")</f>
        <v>300</v>
      </c>
      <c r="I13" s="58">
        <f>SUMIFS('0628 4度C'!$K:$K,'0628 4度C'!$A:$A,"新豐1線",'0628 4度C'!$B:$B,"平均")</f>
        <v>119.65811965811965</v>
      </c>
      <c r="J13" s="59">
        <f>SUMIFS('0628 4度C'!$K:$K,'0628 4度C'!$A:$A,"新豐10線",'0628 4度C'!$B:$B,"平均")</f>
        <v>324.32432432432432</v>
      </c>
      <c r="K13" s="60">
        <f>SUMIFS('0628 4度C'!$K:$K,'0628 4度C'!$A:$A,"新豐8線",'0628 4度C'!$B:$B,"平均")</f>
        <v>137.14285714285714</v>
      </c>
      <c r="L13" s="61">
        <f>SUMIFS('0628 4度C'!$K:$K,'0628 4度C'!$A:$A,"新豐9線",'0628 4度C'!$B:$B,"平均")</f>
        <v>120.54794520547945</v>
      </c>
      <c r="M13" s="59">
        <f>SUMIFS('0628 4度C'!$K:$K,'0628 4度C'!$A:$A,"新豐4線",'0628 4度C'!$B:$B,"平均")</f>
        <v>156.09756097560975</v>
      </c>
    </row>
    <row r="14" spans="2:17" ht="39.6" customHeight="1">
      <c r="B14" s="570"/>
      <c r="C14" s="62" t="s">
        <v>2520</v>
      </c>
      <c r="D14" s="63">
        <f>SUMIFS('0628 4度C'!$N:$N,'0628 4度C'!$A:$A,"新豐6線",'0628 4度C'!$B:$B,"平均")</f>
        <v>124.31656031789088</v>
      </c>
      <c r="E14" s="64">
        <f>SUMIFS('0628 4度C'!$N:$N,'0628 4度C'!$A:$A,"新豐2線",'0628 4度C'!$B:$B,"平均")</f>
        <v>84.298705626730438</v>
      </c>
      <c r="F14" s="64">
        <f>SUMIFS('0628 4度C'!$N:$N,'0628 4度C'!$A:$A,"新豐5線",'0628 4度C'!$B:$B,"平均")</f>
        <v>84.437644640807335</v>
      </c>
      <c r="G14" s="64">
        <f>SUMIFS('0628 4度C'!$N:$N,'0628 4度C'!$A:$A,"新豐7線",'0628 4度C'!$B:$B,"平均")</f>
        <v>114.47568368690638</v>
      </c>
      <c r="H14" s="64">
        <f>SUMIFS('0628 4度C'!$N:$N,'0628 4度C'!$A:$A,"新豐3線",'0628 4度C'!$B:$B,"平均")</f>
        <v>286.84130684130685</v>
      </c>
      <c r="I14" s="64">
        <f>SUMIFS('0628 4度C'!$N:$N,'0628 4度C'!$A:$A,"新豐1線",'0628 4度C'!$B:$B,"平均")</f>
        <v>114.34271994343408</v>
      </c>
      <c r="J14" s="65">
        <f>SUMIFS('0628 4度C'!$N:$N,'0628 4度C'!$A:$A,"新豐10線",'0628 4度C'!$B:$B,"平均")</f>
        <v>310.94665579670396</v>
      </c>
      <c r="K14" s="66">
        <f>SUMIFS('0628 4度C'!$N:$N,'0628 4度C'!$A:$A,"新豐8線",'0628 4度C'!$B:$B,"平均")</f>
        <v>131.09520470695261</v>
      </c>
      <c r="L14" s="67">
        <f>SUMIFS('0628 4度C'!$N:$N,'0628 4度C'!$A:$A,"新豐9線",'0628 4度C'!$B:$B,"平均")</f>
        <v>115.26942010745728</v>
      </c>
      <c r="M14" s="65">
        <f>SUMIFS('0628 4度C'!$N:$N,'0628 4度C'!$A:$A,"新豐4線",'0628 4度C'!$B:$B,"平均")</f>
        <v>149.41057840509552</v>
      </c>
    </row>
    <row r="15" spans="2:17" ht="40.15" customHeight="1">
      <c r="B15" s="571"/>
      <c r="C15" s="68" t="s">
        <v>2521</v>
      </c>
      <c r="D15" s="69">
        <f t="shared" ref="D15:M15" si="0">D14/D13</f>
        <v>0.96345334246365433</v>
      </c>
      <c r="E15" s="70">
        <f t="shared" si="0"/>
        <v>0.95538533043627827</v>
      </c>
      <c r="F15" s="70">
        <f t="shared" si="0"/>
        <v>0.96185490851702271</v>
      </c>
      <c r="G15" s="70">
        <f t="shared" si="0"/>
        <v>0.95396403072421998</v>
      </c>
      <c r="H15" s="70">
        <f t="shared" si="0"/>
        <v>0.95613768947102284</v>
      </c>
      <c r="I15" s="70">
        <f t="shared" si="0"/>
        <v>0.95557844524155633</v>
      </c>
      <c r="J15" s="71">
        <f t="shared" si="0"/>
        <v>0.95875218870650392</v>
      </c>
      <c r="K15" s="69">
        <f t="shared" si="0"/>
        <v>0.9559025343215295</v>
      </c>
      <c r="L15" s="70">
        <f t="shared" si="0"/>
        <v>0.95621223498231611</v>
      </c>
      <c r="M15" s="71">
        <f t="shared" si="0"/>
        <v>0.95716151790764326</v>
      </c>
    </row>
    <row r="16" spans="2:17" ht="17.25" customHeight="1">
      <c r="B16" s="572" t="s">
        <v>2522</v>
      </c>
      <c r="C16" s="72" t="s">
        <v>2523</v>
      </c>
      <c r="D16" s="73">
        <f>VLOOKUP("新豐6線",'0628 4度C'!$A:$T,19,0)</f>
        <v>0.70833333333333337</v>
      </c>
      <c r="E16" s="74">
        <f>VLOOKUP("新豐2線",'0628 4度C'!$A:$T,19,0)</f>
        <v>0.16666666666666666</v>
      </c>
      <c r="F16" s="74">
        <f>VLOOKUP("新豐5線",'0628 4度C'!$A:$T,19,0)</f>
        <v>8.3333333333333329E-2</v>
      </c>
      <c r="G16" s="74">
        <f>VLOOKUP("新豐7線",'0628 4度C'!$A:$T,19,0)</f>
        <v>0.20833333333333334</v>
      </c>
      <c r="H16" s="74">
        <f>VLOOKUP("新豐3線",'0628 4度C'!$A:$T,19,0)</f>
        <v>0.20833333333333334</v>
      </c>
      <c r="I16" s="74">
        <f>VLOOKUP("新豐1線",'0628 4度C'!$A:$T,19,0)</f>
        <v>0.16666666666666666</v>
      </c>
      <c r="J16" s="75">
        <f>VLOOKUP("新豐10線",'0628 4度C'!$A:$T,19,0)</f>
        <v>0.20833333333333334</v>
      </c>
      <c r="K16" s="76">
        <f>VLOOKUP("新豐8線",'0628 4度C'!$A:$T,19,0)</f>
        <v>8.3333333333333329E-2</v>
      </c>
      <c r="L16" s="77">
        <f>VLOOKUP("新豐9線",'0628 4度C'!$A:$T,19,0)</f>
        <v>8.3333333333333329E-2</v>
      </c>
      <c r="M16" s="78">
        <f>VLOOKUP("新豐4線",'0628 4度C'!$A:$T,19,0)</f>
        <v>8.3333333333333329E-2</v>
      </c>
    </row>
    <row r="17" spans="2:13" ht="17.25" customHeight="1">
      <c r="B17" s="573"/>
      <c r="C17" s="72" t="s">
        <v>2524</v>
      </c>
      <c r="D17" s="76">
        <f>LOOKUP(2,1/(('0628 4度C'!$A:$A="新豐6線")*('0628 4度C'!$T:$T&lt;&gt;"")),'0628 4度C'!$T:$T)</f>
        <v>0.91249999999999998</v>
      </c>
      <c r="E17" s="74">
        <f>LOOKUP(2,1/(('0628 4度C'!$A:$A="新豐2線")*('0628 4度C'!$T:$T&lt;&gt;"")),'0628 4度C'!$T:$T)</f>
        <v>0.8208333333333333</v>
      </c>
      <c r="F17" s="74">
        <f>LOOKUP(2,1/(('0628 4度C'!$A:$A="新豐5線")*('0628 4度C'!$T:$T&lt;&gt;"")),'0628 4度C'!$T:$T)</f>
        <v>0.82152777777777775</v>
      </c>
      <c r="G17" s="74">
        <f>LOOKUP(2,1/(('0628 4度C'!$A:$A="新豐7線")*('0628 4度C'!$T:$T&lt;&gt;"")),'0628 4度C'!$T:$T)</f>
        <v>0.84236111111111112</v>
      </c>
      <c r="H17" s="74">
        <f>LOOKUP(2,1/(('0628 4度C'!$A:$A="新豐3線")*('0628 4度C'!$T:$T&lt;&gt;"")),'0628 4度C'!$T:$T)</f>
        <v>0.47291666666666665</v>
      </c>
      <c r="I17" s="74">
        <f>LOOKUP(2,1/(('0628 4度C'!$A:$A="新豐1線")*('0628 4度C'!$T:$T&lt;&gt;"")),'0628 4度C'!$T:$T)</f>
        <v>0.85486111111111107</v>
      </c>
      <c r="J17" s="75">
        <f>LOOKUP(2,1/(('0628 4度C'!$A:$A="新豐10線")*('0628 4度C'!$T:$T&lt;&gt;"")),'0628 4度C'!$T:$T)</f>
        <v>0.45416666666666666</v>
      </c>
      <c r="K17" s="73">
        <f>LOOKUP(2,1/(('0628 4度C'!$A:$A="新豐8線")*('0628 4度C'!$T:$T&lt;&gt;"")),'0628 4度C'!$T:$T)</f>
        <v>0.76388888888888884</v>
      </c>
      <c r="L17" s="74">
        <f>LOOKUP(2,1/(('0628 4度C'!$A:$A="新豐9線")*('0628 4度C'!$T:$T&lt;&gt;"")),'0628 4度C'!$T:$T)</f>
        <v>0.75486111111111109</v>
      </c>
      <c r="M17" s="75">
        <f>LOOKUP(2,1/(('0628 4度C'!$A:$A="新豐4線")*('0628 4度C'!$T:$T&lt;&gt;"")),'0628 4度C'!$T:$T)</f>
        <v>0.7534722222222221</v>
      </c>
    </row>
    <row r="18" spans="2:13" ht="17.25" customHeight="1">
      <c r="B18" s="551" t="s">
        <v>2525</v>
      </c>
      <c r="C18" s="79" t="s">
        <v>2526</v>
      </c>
      <c r="D18" s="80">
        <f>SUMIFS('0628 4度C'!$Y:$Y,'0628 4度C'!$A:$A,"新豐6線",'0628 4度C'!$B:$B,"平均")</f>
        <v>0</v>
      </c>
      <c r="E18" s="81">
        <f>SUMIFS('0628 4度C'!$Y:$Y,'0628 4度C'!$A:$A,"新豐2線",'0628 4度C'!$B:$B,"平均")</f>
        <v>0</v>
      </c>
      <c r="F18" s="81">
        <f>SUMIFS('0628 4度C'!$Y:$Y,'0628 4度C'!$A:$A,"新豐5線",'0628 4度C'!$B:$B,"平均")</f>
        <v>0</v>
      </c>
      <c r="G18" s="81">
        <f>SUMIFS('0628 4度C'!$Y:$Y,'0628 4度C'!$A:$A,"新豐7線",'0628 4度C'!$B:$B,"平均")</f>
        <v>0</v>
      </c>
      <c r="H18" s="81">
        <f>SUMIFS('0628 4度C'!$Y:$Y,'0628 4度C'!$A:$A,"新豐3線",'0628 4度C'!$B:$B,"平均")</f>
        <v>0</v>
      </c>
      <c r="I18" s="81">
        <f>SUMIFS('0628 4度C'!$Y:$Y,'0628 4度C'!$A:$A,"新豐1線",'0628 4度C'!$B:$B,"平均")</f>
        <v>0</v>
      </c>
      <c r="J18" s="82">
        <f>SUMIFS('0628 4度C'!$Y:$Y,'0628 4度C'!$A:$A,"新豐10線",'0628 4度C'!$B:$B,"平均")</f>
        <v>0</v>
      </c>
      <c r="K18" s="83">
        <f>SUMIFS('0628 4度C'!$Y:$Y,'0628 4度C'!$A:$A,"新豐8線",'0628 4度C'!$B:$B,"平均")</f>
        <v>0</v>
      </c>
      <c r="L18" s="81">
        <f>SUMIFS('0628 4度C'!$Y:$Y,'0628 4度C'!$A:$A,"新豐9線",'0628 4度C'!$B:$B,"平均")</f>
        <v>0</v>
      </c>
      <c r="M18" s="82">
        <f>SUMIFS('0628 4度C'!$Y:$Y,'0628 4度C'!$A:$A,"新豐4線",'0628 4度C'!$B:$B,"平均")</f>
        <v>0</v>
      </c>
    </row>
    <row r="19" spans="2:13" ht="17.25" customHeight="1">
      <c r="B19" s="552"/>
      <c r="C19" s="79" t="s">
        <v>2527</v>
      </c>
      <c r="D19" s="80">
        <f>SUMIFS('0628 4度C'!$Z:$Z,'0628 4度C'!$A:$A,"新豐6線",'0628 4度C'!$B:$B,"平均")</f>
        <v>0</v>
      </c>
      <c r="E19" s="81">
        <f>SUMIFS('0628 4度C'!$Z:$Z,'0628 4度C'!$A:$A,"新豐2線",'0628 4度C'!$B:$B,"平均")</f>
        <v>0</v>
      </c>
      <c r="F19" s="81">
        <f>SUMIFS('0628 4度C'!$Z:$Z,'0628 4度C'!$A:$A,"新豐5線",'0628 4度C'!$B:$B,"平均")</f>
        <v>0</v>
      </c>
      <c r="G19" s="81">
        <f>SUMIFS('0628 4度C'!$Z:$Z,'0628 4度C'!$A:$A,"新豐7線",'0628 4度C'!$B:$B,"平均")</f>
        <v>0</v>
      </c>
      <c r="H19" s="81">
        <f>SUMIFS('0628 4度C'!$Z:$Z,'0628 4度C'!$A:$A,"新豐3線",'0628 4度C'!$B:$B,"平均")</f>
        <v>0</v>
      </c>
      <c r="I19" s="81">
        <f>SUMIFS('0628 4度C'!$Z:$Z,'0628 4度C'!$A:$A,"新豐1線",'0628 4度C'!$B:$B,"平均")</f>
        <v>0</v>
      </c>
      <c r="J19" s="82">
        <f>SUMIFS('0628 4度C'!$Z:$Z,'0628 4度C'!$A:$A,"新豐10線",'0628 4度C'!$B:$B,"平均")</f>
        <v>0</v>
      </c>
      <c r="K19" s="83">
        <f>SUMIFS('0628 4度C'!$Z:$Z,'0628 4度C'!$A:$A,"新豐8線",'0628 4度C'!$B:$B,"平均")</f>
        <v>0</v>
      </c>
      <c r="L19" s="81">
        <f>SUMIFS('0628 4度C'!$Z:$Z,'0628 4度C'!$A:$A,"新豐9線",'0628 4度C'!$B:$B,"平均")</f>
        <v>0</v>
      </c>
      <c r="M19" s="82">
        <f>SUMIFS('0628 4度C'!$Z:$Z,'0628 4度C'!$A:$A,"新豐4線",'0628 4度C'!$B:$B,"平均")</f>
        <v>0</v>
      </c>
    </row>
    <row r="20" spans="2:13" ht="17.25" customHeight="1">
      <c r="B20" s="551" t="s">
        <v>2528</v>
      </c>
      <c r="C20" s="79" t="s">
        <v>2526</v>
      </c>
      <c r="D20" s="80">
        <f>SUMIFS('0628 4度C'!$AC:$AC,'0628 4度C'!$A:$A,"新豐6線",'0628 4度C'!$B:$B,"平均")</f>
        <v>4</v>
      </c>
      <c r="E20" s="81">
        <f>SUMIFS('0628 4度C'!$AC:$AC,'0628 4度C'!$A:$A,"新豐2線",'0628 4度C'!$B:$B,"平均")</f>
        <v>6</v>
      </c>
      <c r="F20" s="81">
        <f>SUMIFS('0628 4度C'!$AC:$AC,'0628 4度C'!$A:$A,"新豐5線",'0628 4度C'!$B:$B,"平均")</f>
        <v>7</v>
      </c>
      <c r="G20" s="81">
        <f>SUMIFS('0628 4度C'!$AC:$AC,'0628 4度C'!$A:$A,"新豐7線",'0628 4度C'!$B:$B,"平均")</f>
        <v>6</v>
      </c>
      <c r="H20" s="81">
        <f>SUMIFS('0628 4度C'!$AC:$AC,'0628 4度C'!$A:$A,"新豐3線",'0628 4度C'!$B:$B,"平均")</f>
        <v>3</v>
      </c>
      <c r="I20" s="81">
        <f>SUMIFS('0628 4度C'!$AC:$AC,'0628 4度C'!$A:$A,"新豐1線",'0628 4度C'!$B:$B,"平均")</f>
        <v>7</v>
      </c>
      <c r="J20" s="82">
        <f>SUMIFS('0628 4度C'!$AC:$AC,'0628 4度C'!$A:$A,"新豐10線",'0628 4度C'!$B:$B,"平均")</f>
        <v>4</v>
      </c>
      <c r="K20" s="83">
        <f>SUMIFS('0628 4度C'!$AC:$AC,'0628 4度C'!$A:$A,"新豐8線",'0628 4度C'!$B:$B,"平均")</f>
        <v>8</v>
      </c>
      <c r="L20" s="81">
        <f>SUMIFS('0628 4度C'!$AC:$AC,'0628 4度C'!$A:$A,"新豐9線",'0628 4度C'!$B:$B,"平均")</f>
        <v>8</v>
      </c>
      <c r="M20" s="82">
        <f>SUMIFS('0628 4度C'!$AC:$AC,'0628 4度C'!$A:$A,"新豐4線",'0628 4度C'!$B:$B,"平均")</f>
        <v>8</v>
      </c>
    </row>
    <row r="21" spans="2:13" ht="17.25" customHeight="1">
      <c r="B21" s="552"/>
      <c r="C21" s="79" t="s">
        <v>2529</v>
      </c>
      <c r="D21" s="80">
        <f>SUMIFS('0628 4度C'!$AD:$AD,'0628 4度C'!$A:$A,"新豐6線",'0628 4度C'!$B:$B,"平均")</f>
        <v>0</v>
      </c>
      <c r="E21" s="81">
        <f>SUMIFS('0628 4度C'!$AD:$AD,'0628 4度C'!$A:$A,"新豐2線",'0628 4度C'!$B:$B,"平均")</f>
        <v>0</v>
      </c>
      <c r="F21" s="81">
        <f>SUMIFS('0628 4度C'!$AD:$AD,'0628 4度C'!$A:$A,"新豐5線",'0628 4度C'!$B:$B,"平均")</f>
        <v>0</v>
      </c>
      <c r="G21" s="81">
        <f>SUMIFS('0628 4度C'!$AD:$AD,'0628 4度C'!$A:$A,"新豐7線",'0628 4度C'!$B:$B,"平均")</f>
        <v>0</v>
      </c>
      <c r="H21" s="81">
        <f>SUMIFS('0628 4度C'!$AD:$AD,'0628 4度C'!$A:$A,"新豐3線",'0628 4度C'!$B:$B,"平均")</f>
        <v>0</v>
      </c>
      <c r="I21" s="81">
        <f>SUMIFS('0628 4度C'!$AD:$AD,'0628 4度C'!$A:$A,"新豐1線",'0628 4度C'!$B:$B,"平均")</f>
        <v>0</v>
      </c>
      <c r="J21" s="82">
        <f>SUMIFS('0628 4度C'!$AD:$AD,'0628 4度C'!$A:$A,"新豐10線",'0628 4度C'!$B:$B,"平均")</f>
        <v>0</v>
      </c>
      <c r="K21" s="83">
        <f>SUMIFS('0628 4度C'!$AD:$AD,'0628 4度C'!$A:$A,"新豐8線",'0628 4度C'!$B:$B,"平均")</f>
        <v>0</v>
      </c>
      <c r="L21" s="81">
        <f>SUMIFS('0628 4度C'!$AD:$AD,'0628 4度C'!$A:$A,"新豐9線",'0628 4度C'!$B:$B,"平均")</f>
        <v>0</v>
      </c>
      <c r="M21" s="82">
        <f>SUMIFS('0628 4度C'!$AD:$AD,'0628 4度C'!$A:$A,"新豐4線",'0628 4度C'!$B:$B,"平均")</f>
        <v>0</v>
      </c>
    </row>
    <row r="22" spans="2:13" ht="17.25" customHeight="1">
      <c r="B22" s="553" t="s">
        <v>2530</v>
      </c>
      <c r="C22" s="554"/>
      <c r="D22" s="84">
        <f>SUMIFS('0628 4度C'!$I:$I,'0628 4度C'!$A:$A,"新豐6線",'0628 4度C'!$B:$B,"平均")</f>
        <v>15.5</v>
      </c>
      <c r="E22" s="85">
        <f>SUMIFS('0628 4度C'!$I:$I,'0628 4度C'!$A:$A,"新豐2線",'0628 4度C'!$B:$B,"平均")</f>
        <v>17</v>
      </c>
      <c r="F22" s="85">
        <f>SUMIFS('0628 4度C'!$I:$I,'0628 4度C'!$A:$A,"新豐5線",'0628 4度C'!$B:$B,"平均")</f>
        <v>18.714285714285715</v>
      </c>
      <c r="G22" s="85">
        <f>SUMIFS('0628 4度C'!$I:$I,'0628 4度C'!$A:$A,"新豐7線",'0628 4度C'!$B:$B,"平均")</f>
        <v>16.666666666666668</v>
      </c>
      <c r="H22" s="85">
        <f>SUMIFS('0628 4度C'!$I:$I,'0628 4度C'!$A:$A,"新豐3線",'0628 4度C'!$B:$B,"平均")</f>
        <v>10</v>
      </c>
      <c r="I22" s="85">
        <f>SUMIFS('0628 4度C'!$I:$I,'0628 4度C'!$A:$A,"新豐1線",'0628 4度C'!$B:$B,"平均")</f>
        <v>16.714285714285715</v>
      </c>
      <c r="J22" s="86">
        <f>SUMIFS('0628 4度C'!$I:$I,'0628 4度C'!$A:$A,"新豐10線",'0628 4度C'!$B:$B,"平均")</f>
        <v>9.25</v>
      </c>
      <c r="K22" s="84">
        <f>SUMIFS('0628 4度C'!$I:$I,'0628 4度C'!$A:$A,"新豐8線",'0628 4度C'!$B:$B,"平均")</f>
        <v>17.5</v>
      </c>
      <c r="L22" s="85">
        <f>SUMIFS('0628 4度C'!$I:$I,'0628 4度C'!$A:$A,"新豐9線",'0628 4度C'!$B:$B,"平均")</f>
        <v>18.25</v>
      </c>
      <c r="M22" s="86">
        <f>SUMIFS('0628 4度C'!$I:$I,'0628 4度C'!$A:$A,"新豐4線",'0628 4度C'!$B:$B,"平均")</f>
        <v>15.375</v>
      </c>
    </row>
    <row r="23" spans="2:13" ht="17.25" customHeight="1">
      <c r="B23" s="553" t="s">
        <v>2531</v>
      </c>
      <c r="C23" s="554"/>
      <c r="D23" s="87" t="s">
        <v>71</v>
      </c>
      <c r="E23" s="88" t="s">
        <v>72</v>
      </c>
      <c r="F23" s="88" t="s">
        <v>2532</v>
      </c>
      <c r="G23" s="88" t="s">
        <v>123</v>
      </c>
      <c r="H23" s="88" t="s">
        <v>73</v>
      </c>
      <c r="I23" s="88" t="s">
        <v>71</v>
      </c>
      <c r="J23" s="89" t="s">
        <v>73</v>
      </c>
      <c r="K23" s="87" t="s">
        <v>2533</v>
      </c>
      <c r="L23" s="88" t="s">
        <v>2533</v>
      </c>
      <c r="M23" s="89" t="s">
        <v>2533</v>
      </c>
    </row>
    <row r="24" spans="2:13" ht="17.25" customHeight="1">
      <c r="B24" s="553" t="s">
        <v>2534</v>
      </c>
      <c r="C24" s="554"/>
      <c r="D24" s="87"/>
      <c r="E24" s="88"/>
      <c r="F24" s="88" t="s">
        <v>2535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2536</v>
      </c>
      <c r="C25" s="556"/>
      <c r="D25" s="90"/>
      <c r="E25" s="91" t="s">
        <v>2537</v>
      </c>
      <c r="F25" s="549" t="s">
        <v>2538</v>
      </c>
      <c r="G25" s="550"/>
      <c r="H25" s="91" t="s">
        <v>2539</v>
      </c>
      <c r="I25" s="91" t="s">
        <v>2540</v>
      </c>
      <c r="J25" s="92" t="s">
        <v>2541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78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I13" sqref="I13"/>
      <selection pane="bottomLeft" activeCell="I13" sqref="I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2542</v>
      </c>
      <c r="B1" s="1"/>
      <c r="C1" s="2" t="s">
        <v>2543</v>
      </c>
      <c r="D1" s="3">
        <f>SUM(F5:F75)</f>
        <v>206309</v>
      </c>
      <c r="E1" s="505" t="s">
        <v>2544</v>
      </c>
      <c r="F1" s="1">
        <f>SUM(G5:G75)</f>
        <v>7066147.209999999</v>
      </c>
      <c r="G1" s="1" t="s">
        <v>2545</v>
      </c>
      <c r="H1" s="4">
        <f>L9+L16+L53+L61+L24+L66+L40+L49+L31+L75</f>
        <v>154.9702380952381</v>
      </c>
      <c r="I1" s="663" t="s">
        <v>2546</v>
      </c>
      <c r="J1" s="663"/>
      <c r="K1" s="663"/>
      <c r="L1" s="663" t="s">
        <v>2547</v>
      </c>
      <c r="M1" s="663"/>
      <c r="N1" s="663"/>
      <c r="O1" s="663" t="s">
        <v>2548</v>
      </c>
      <c r="P1" s="663"/>
      <c r="Q1" s="663"/>
      <c r="R1" s="663"/>
      <c r="S1" s="663" t="s">
        <v>2549</v>
      </c>
      <c r="T1" s="663"/>
      <c r="U1" s="663"/>
      <c r="V1" s="663"/>
      <c r="W1" s="663"/>
      <c r="X1" s="663"/>
      <c r="Y1" s="5" t="s">
        <v>2550</v>
      </c>
      <c r="Z1" s="6" t="s">
        <v>2551</v>
      </c>
      <c r="AA1" s="664" t="s">
        <v>2552</v>
      </c>
      <c r="AB1" s="664"/>
      <c r="AC1" s="188" t="s">
        <v>2550</v>
      </c>
      <c r="AD1" s="6" t="s">
        <v>2553</v>
      </c>
      <c r="AE1" s="663" t="s">
        <v>2554</v>
      </c>
      <c r="AF1" s="665"/>
      <c r="AG1" s="665"/>
    </row>
    <row r="2" spans="1:33" ht="26.25" customHeight="1">
      <c r="A2" s="27">
        <v>46201</v>
      </c>
      <c r="B2" s="28" t="s">
        <v>710</v>
      </c>
      <c r="C2" s="2" t="s">
        <v>2555</v>
      </c>
      <c r="D2" s="8">
        <f>AVERAGE(N9,N16,N53,N61,N24,N66,N31,N40,N49,N75)</f>
        <v>151.54344800732855</v>
      </c>
      <c r="E2" s="9" t="s">
        <v>0</v>
      </c>
      <c r="F2" s="10">
        <f>F1/D1</f>
        <v>34.250310020406282</v>
      </c>
      <c r="G2" s="1" t="s">
        <v>2556</v>
      </c>
      <c r="H2" s="516">
        <f>COUNT(H5:H75)</f>
        <v>13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SUM(Y9+Y16+Y24+Y31+Y40+Y49+Y53+Y61+Y66+Y75)</f>
        <v>0</v>
      </c>
      <c r="Z2" s="11">
        <f>SUM(Z9+Z16+Z24+Z31+Z40+Z49+Z53+Z61+Z66+Z75)</f>
        <v>0</v>
      </c>
      <c r="AA2" s="664"/>
      <c r="AB2" s="664"/>
      <c r="AC2" s="11">
        <f>SUM(AC9+AC16+AC24+AC31+AC40+AC49+AC53+AC61+AC66+AC75)</f>
        <v>61</v>
      </c>
      <c r="AD2" s="11">
        <f>SUM(AD9+AD16+AD24+AD31+AD40+AD49+AD53+AD61+AD66+AD75)</f>
        <v>0</v>
      </c>
      <c r="AE2" s="665"/>
      <c r="AF2" s="665"/>
      <c r="AG2" s="665"/>
    </row>
    <row r="3" spans="1:33" ht="40.5" customHeight="1">
      <c r="A3" s="617" t="s">
        <v>2557</v>
      </c>
      <c r="B3" s="617" t="s">
        <v>2558</v>
      </c>
      <c r="C3" s="617" t="s">
        <v>2559</v>
      </c>
      <c r="D3" s="617"/>
      <c r="E3" s="661" t="s">
        <v>2560</v>
      </c>
      <c r="F3" s="617" t="s">
        <v>2561</v>
      </c>
      <c r="G3" s="661" t="s">
        <v>2562</v>
      </c>
      <c r="H3" s="654" t="s">
        <v>2563</v>
      </c>
      <c r="I3" s="652" t="s">
        <v>2564</v>
      </c>
      <c r="J3" s="649" t="s">
        <v>919</v>
      </c>
      <c r="K3" s="659" t="s">
        <v>2555</v>
      </c>
      <c r="L3" s="652" t="s">
        <v>2564</v>
      </c>
      <c r="M3" s="649" t="s">
        <v>919</v>
      </c>
      <c r="N3" s="659" t="s">
        <v>2555</v>
      </c>
      <c r="O3" s="652" t="s">
        <v>2564</v>
      </c>
      <c r="P3" s="659" t="s">
        <v>2555</v>
      </c>
      <c r="Q3" s="650" t="s">
        <v>2565</v>
      </c>
      <c r="R3" s="630" t="s">
        <v>2566</v>
      </c>
      <c r="S3" s="617" t="s">
        <v>1</v>
      </c>
      <c r="T3" s="617"/>
      <c r="U3" s="654" t="s">
        <v>2</v>
      </c>
      <c r="V3" s="654" t="s">
        <v>2567</v>
      </c>
      <c r="W3" s="617" t="s">
        <v>2568</v>
      </c>
      <c r="X3" s="617"/>
      <c r="Y3" s="655" t="s">
        <v>2569</v>
      </c>
      <c r="Z3" s="614"/>
      <c r="AA3" s="656" t="s">
        <v>2570</v>
      </c>
      <c r="AB3" s="657"/>
      <c r="AC3" s="655" t="s">
        <v>2571</v>
      </c>
      <c r="AD3" s="614"/>
      <c r="AE3" s="649" t="s">
        <v>919</v>
      </c>
      <c r="AF3" s="650" t="s">
        <v>2565</v>
      </c>
      <c r="AG3" s="630" t="s">
        <v>2566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505" t="s">
        <v>3</v>
      </c>
      <c r="T4" s="505" t="s">
        <v>4</v>
      </c>
      <c r="U4" s="654"/>
      <c r="V4" s="654"/>
      <c r="W4" s="505" t="s">
        <v>2572</v>
      </c>
      <c r="X4" s="505" t="s">
        <v>2573</v>
      </c>
      <c r="Y4" s="508" t="s">
        <v>2574</v>
      </c>
      <c r="Z4" s="508" t="s">
        <v>2575</v>
      </c>
      <c r="AA4" s="658"/>
      <c r="AB4" s="657"/>
      <c r="AC4" s="508" t="s">
        <v>2576</v>
      </c>
      <c r="AD4" s="508" t="s">
        <v>2577</v>
      </c>
      <c r="AE4" s="649"/>
      <c r="AF4" s="650"/>
      <c r="AG4" s="630"/>
    </row>
    <row r="5" spans="1:33">
      <c r="A5" s="651" t="s">
        <v>2578</v>
      </c>
      <c r="B5" s="29" t="s">
        <v>15</v>
      </c>
      <c r="C5" s="653" t="s">
        <v>17</v>
      </c>
      <c r="D5" s="653"/>
      <c r="E5" s="29">
        <v>50.67</v>
      </c>
      <c r="F5" s="515">
        <v>1613</v>
      </c>
      <c r="G5" s="505">
        <f t="shared" ref="G5:G8" si="0">E5*F5</f>
        <v>81730.710000000006</v>
      </c>
      <c r="H5" s="33" t="s">
        <v>57</v>
      </c>
      <c r="I5" s="513">
        <v>15</v>
      </c>
      <c r="J5" s="31">
        <v>2000</v>
      </c>
      <c r="K5" s="12">
        <f t="shared" ref="K5:K68" si="1">J5/I5</f>
        <v>133.33333333333334</v>
      </c>
      <c r="L5" s="513">
        <v>15</v>
      </c>
      <c r="M5" s="13">
        <f t="shared" ref="M5:M8" si="2">F5/V5*60</f>
        <v>1935.6000000000008</v>
      </c>
      <c r="N5" s="12">
        <f t="shared" ref="N5:N68" si="3">M5/L5</f>
        <v>129.04000000000005</v>
      </c>
      <c r="O5" s="14">
        <f t="shared" ref="O5:O68" si="4">L5-I5</f>
        <v>0</v>
      </c>
      <c r="P5" s="15">
        <f t="shared" ref="P5:P68" si="5">N5-K5</f>
        <v>-4.2933333333332939</v>
      </c>
      <c r="Q5" s="504">
        <f t="shared" ref="Q5:Q68" si="6">N5/K5</f>
        <v>0.96780000000000033</v>
      </c>
      <c r="R5" s="615">
        <f>Q9</f>
        <v>0.96345334246365433</v>
      </c>
      <c r="S5" s="34">
        <v>0.70833333333333337</v>
      </c>
      <c r="T5" s="34">
        <v>0.74305555555555558</v>
      </c>
      <c r="U5" s="505"/>
      <c r="V5" s="514">
        <f t="shared" ref="V5:V8" si="7">(T5-S5)*24*60</f>
        <v>49.999999999999986</v>
      </c>
      <c r="W5" s="16"/>
      <c r="X5" s="17"/>
      <c r="Y5" s="17"/>
      <c r="Z5" s="17"/>
      <c r="AA5" s="617"/>
      <c r="AB5" s="617"/>
      <c r="AC5" s="35">
        <v>4</v>
      </c>
      <c r="AD5" s="18"/>
      <c r="AE5" s="14">
        <f t="shared" ref="AE5:AE60" si="8">M5-J5</f>
        <v>-64.399999999999181</v>
      </c>
      <c r="AF5" s="504">
        <f t="shared" ref="AF5:AF68" si="9">M5/J5</f>
        <v>0.96780000000000044</v>
      </c>
      <c r="AG5" s="615">
        <f>AF9</f>
        <v>0.96345334246365433</v>
      </c>
    </row>
    <row r="6" spans="1:33">
      <c r="A6" s="652" t="s">
        <v>2578</v>
      </c>
      <c r="B6" s="29" t="s">
        <v>15</v>
      </c>
      <c r="C6" s="653" t="s">
        <v>26</v>
      </c>
      <c r="D6" s="653"/>
      <c r="E6" s="29">
        <v>50.92</v>
      </c>
      <c r="F6" s="515">
        <v>2640</v>
      </c>
      <c r="G6" s="505">
        <f t="shared" si="0"/>
        <v>134428.80000000002</v>
      </c>
      <c r="H6" s="33" t="s">
        <v>57</v>
      </c>
      <c r="I6" s="513">
        <v>15</v>
      </c>
      <c r="J6" s="31">
        <v>2000</v>
      </c>
      <c r="K6" s="12">
        <f t="shared" si="1"/>
        <v>133.33333333333334</v>
      </c>
      <c r="L6" s="513">
        <v>15</v>
      </c>
      <c r="M6" s="13">
        <f t="shared" si="2"/>
        <v>1908.4337349397586</v>
      </c>
      <c r="N6" s="12">
        <f t="shared" si="3"/>
        <v>127.22891566265056</v>
      </c>
      <c r="O6" s="14">
        <f t="shared" si="4"/>
        <v>0</v>
      </c>
      <c r="P6" s="15">
        <f t="shared" si="5"/>
        <v>-6.1044176706827784</v>
      </c>
      <c r="Q6" s="504">
        <f t="shared" si="6"/>
        <v>0.95421686746987922</v>
      </c>
      <c r="R6" s="615"/>
      <c r="S6" s="34">
        <v>0.74652777777777779</v>
      </c>
      <c r="T6" s="34">
        <v>0.8041666666666667</v>
      </c>
      <c r="U6" s="505">
        <f t="shared" ref="U6:U8" si="10">IF(S6=TIME(17,0,0),"",(S6-T5)*24*60)</f>
        <v>4.9999999999999822</v>
      </c>
      <c r="V6" s="514">
        <f t="shared" si="7"/>
        <v>83.000000000000028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-91.566265060241449</v>
      </c>
      <c r="AF6" s="504">
        <f t="shared" si="9"/>
        <v>0.95421686746987933</v>
      </c>
      <c r="AG6" s="615"/>
    </row>
    <row r="7" spans="1:33">
      <c r="A7" s="652" t="s">
        <v>2579</v>
      </c>
      <c r="B7" s="29" t="s">
        <v>15</v>
      </c>
      <c r="C7" s="644" t="s">
        <v>31</v>
      </c>
      <c r="D7" s="645"/>
      <c r="E7" s="29">
        <v>50.98</v>
      </c>
      <c r="F7" s="515">
        <v>1200</v>
      </c>
      <c r="G7" s="505">
        <f t="shared" si="0"/>
        <v>61175.999999999993</v>
      </c>
      <c r="H7" s="33">
        <v>2</v>
      </c>
      <c r="I7" s="513">
        <v>16</v>
      </c>
      <c r="J7" s="31">
        <v>2000</v>
      </c>
      <c r="K7" s="12">
        <f t="shared" si="1"/>
        <v>125</v>
      </c>
      <c r="L7" s="513">
        <v>16</v>
      </c>
      <c r="M7" s="13">
        <f t="shared" si="2"/>
        <v>1945.9459459459445</v>
      </c>
      <c r="N7" s="12">
        <f t="shared" si="3"/>
        <v>121.62162162162153</v>
      </c>
      <c r="O7" s="14">
        <f t="shared" si="4"/>
        <v>0</v>
      </c>
      <c r="P7" s="15">
        <f t="shared" si="5"/>
        <v>-3.3783783783784713</v>
      </c>
      <c r="Q7" s="504">
        <f t="shared" si="6"/>
        <v>0.97297297297297225</v>
      </c>
      <c r="R7" s="615"/>
      <c r="S7" s="34">
        <v>0.80972222222222223</v>
      </c>
      <c r="T7" s="34">
        <v>0.8354166666666667</v>
      </c>
      <c r="U7" s="505">
        <f t="shared" si="10"/>
        <v>7.9999999999999716</v>
      </c>
      <c r="V7" s="514">
        <f t="shared" si="7"/>
        <v>37.000000000000028</v>
      </c>
      <c r="W7" s="16">
        <f>T7</f>
        <v>0.8354166666666667</v>
      </c>
      <c r="X7" s="16">
        <f>S8</f>
        <v>0.87708333333333333</v>
      </c>
      <c r="Y7" s="19"/>
      <c r="Z7" s="19"/>
      <c r="AA7" s="624"/>
      <c r="AB7" s="625"/>
      <c r="AC7" s="35"/>
      <c r="AD7" s="20"/>
      <c r="AE7" s="14">
        <f t="shared" si="8"/>
        <v>-54.054054054055541</v>
      </c>
      <c r="AF7" s="504">
        <f t="shared" si="9"/>
        <v>0.97297297297297225</v>
      </c>
      <c r="AG7" s="615"/>
    </row>
    <row r="8" spans="1:33">
      <c r="A8" s="652" t="s">
        <v>2578</v>
      </c>
      <c r="B8" s="29" t="s">
        <v>15</v>
      </c>
      <c r="C8" s="644" t="s">
        <v>31</v>
      </c>
      <c r="D8" s="645"/>
      <c r="E8" s="29">
        <v>50.98</v>
      </c>
      <c r="F8" s="515">
        <v>1630</v>
      </c>
      <c r="G8" s="505">
        <f t="shared" si="0"/>
        <v>83097.399999999994</v>
      </c>
      <c r="H8" s="33" t="s">
        <v>57</v>
      </c>
      <c r="I8" s="513">
        <v>16</v>
      </c>
      <c r="J8" s="31">
        <v>2000</v>
      </c>
      <c r="K8" s="12">
        <f t="shared" si="1"/>
        <v>125</v>
      </c>
      <c r="L8" s="513">
        <v>16</v>
      </c>
      <c r="M8" s="13">
        <f t="shared" si="2"/>
        <v>1917.6470588235302</v>
      </c>
      <c r="N8" s="12">
        <f t="shared" si="3"/>
        <v>119.85294117647064</v>
      </c>
      <c r="O8" s="14">
        <f t="shared" si="4"/>
        <v>0</v>
      </c>
      <c r="P8" s="15">
        <f t="shared" si="5"/>
        <v>-5.1470588235293633</v>
      </c>
      <c r="Q8" s="504">
        <f t="shared" si="6"/>
        <v>0.95882352941176507</v>
      </c>
      <c r="R8" s="615"/>
      <c r="S8" s="34">
        <v>0.87708333333333333</v>
      </c>
      <c r="T8" s="34">
        <v>0.91249999999999998</v>
      </c>
      <c r="U8" s="505">
        <f t="shared" si="10"/>
        <v>59.999999999999943</v>
      </c>
      <c r="V8" s="514">
        <f t="shared" si="7"/>
        <v>50.999999999999979</v>
      </c>
      <c r="W8" s="21"/>
      <c r="X8" s="21"/>
      <c r="Y8" s="22"/>
      <c r="Z8" s="22"/>
      <c r="AA8" s="624"/>
      <c r="AB8" s="625"/>
      <c r="AC8" s="35"/>
      <c r="AD8" s="20"/>
      <c r="AE8" s="14">
        <f t="shared" si="8"/>
        <v>-82.352941176469812</v>
      </c>
      <c r="AF8" s="504">
        <f t="shared" si="9"/>
        <v>0.95882352941176507</v>
      </c>
      <c r="AG8" s="615"/>
    </row>
    <row r="9" spans="1:33">
      <c r="A9" s="652" t="s">
        <v>2578</v>
      </c>
      <c r="B9" s="29" t="s">
        <v>2580</v>
      </c>
      <c r="C9" s="618"/>
      <c r="D9" s="618"/>
      <c r="E9" s="507"/>
      <c r="F9" s="30"/>
      <c r="G9" s="12"/>
      <c r="H9" s="515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1926.9066849273086</v>
      </c>
      <c r="N9" s="12">
        <f t="shared" si="3"/>
        <v>124.31656031789088</v>
      </c>
      <c r="O9" s="14">
        <f t="shared" si="4"/>
        <v>0</v>
      </c>
      <c r="P9" s="15">
        <f t="shared" si="5"/>
        <v>-4.7156977466252528</v>
      </c>
      <c r="Q9" s="504">
        <f t="shared" si="6"/>
        <v>0.96345334246365433</v>
      </c>
      <c r="R9" s="615"/>
      <c r="S9" s="34"/>
      <c r="T9" s="34"/>
      <c r="U9" s="505"/>
      <c r="V9" s="514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-73.093315072691439</v>
      </c>
      <c r="AF9" s="504">
        <f t="shared" si="9"/>
        <v>0.96345334246365433</v>
      </c>
      <c r="AG9" s="615"/>
    </row>
    <row r="10" spans="1:33" ht="15.75" customHeight="1">
      <c r="A10" s="648" t="s">
        <v>2581</v>
      </c>
      <c r="B10" s="29" t="s">
        <v>19</v>
      </c>
      <c r="C10" s="644" t="s">
        <v>20</v>
      </c>
      <c r="D10" s="645"/>
      <c r="E10" s="29">
        <v>39.619999999999997</v>
      </c>
      <c r="F10" s="515">
        <v>3300</v>
      </c>
      <c r="G10" s="505">
        <f t="shared" ref="G10:G15" si="11">E10*F10</f>
        <v>130745.99999999999</v>
      </c>
      <c r="H10" s="33">
        <v>2</v>
      </c>
      <c r="I10" s="513">
        <v>19</v>
      </c>
      <c r="J10" s="31">
        <v>1500</v>
      </c>
      <c r="K10" s="12">
        <f t="shared" si="1"/>
        <v>78.94736842105263</v>
      </c>
      <c r="L10" s="513">
        <v>19</v>
      </c>
      <c r="M10" s="13">
        <f t="shared" ref="M10:M15" si="12">F10/V10*60</f>
        <v>1434.7826086956527</v>
      </c>
      <c r="N10" s="12">
        <f t="shared" si="3"/>
        <v>75.514874141876462</v>
      </c>
      <c r="O10" s="14">
        <f t="shared" si="4"/>
        <v>0</v>
      </c>
      <c r="P10" s="15">
        <f t="shared" si="5"/>
        <v>-3.4324942791761686</v>
      </c>
      <c r="Q10" s="504">
        <f t="shared" si="6"/>
        <v>0.95652173913043514</v>
      </c>
      <c r="R10" s="615">
        <f>Q16</f>
        <v>0.95538533043627827</v>
      </c>
      <c r="S10" s="34">
        <v>0.16666666666666666</v>
      </c>
      <c r="T10" s="34">
        <v>0.26249999999999996</v>
      </c>
      <c r="U10" s="505"/>
      <c r="V10" s="514">
        <f t="shared" ref="V10:V15" si="13">(T10-S10)*24*60</f>
        <v>137.99999999999994</v>
      </c>
      <c r="W10" s="16">
        <f>T10</f>
        <v>0.26249999999999996</v>
      </c>
      <c r="X10" s="16">
        <f>S11</f>
        <v>0.28124999999999994</v>
      </c>
      <c r="Y10" s="16"/>
      <c r="Z10" s="16"/>
      <c r="AA10" s="617"/>
      <c r="AB10" s="617"/>
      <c r="AC10" s="35">
        <v>6</v>
      </c>
      <c r="AD10" s="18"/>
      <c r="AE10" s="14">
        <f t="shared" si="8"/>
        <v>-65.217391304347302</v>
      </c>
      <c r="AF10" s="504">
        <f t="shared" si="9"/>
        <v>0.95652173913043514</v>
      </c>
      <c r="AG10" s="615">
        <f>AF16</f>
        <v>0.95538533043627827</v>
      </c>
    </row>
    <row r="11" spans="1:33" ht="15.75" customHeight="1">
      <c r="A11" s="648" t="s">
        <v>2581</v>
      </c>
      <c r="B11" s="29" t="s">
        <v>19</v>
      </c>
      <c r="C11" s="644" t="s">
        <v>83</v>
      </c>
      <c r="D11" s="645"/>
      <c r="E11" s="29">
        <v>39.46</v>
      </c>
      <c r="F11" s="515">
        <v>3000</v>
      </c>
      <c r="G11" s="505">
        <f t="shared" si="11"/>
        <v>118380</v>
      </c>
      <c r="H11" s="33">
        <v>2</v>
      </c>
      <c r="I11" s="513">
        <v>15</v>
      </c>
      <c r="J11" s="31">
        <v>1500</v>
      </c>
      <c r="K11" s="12">
        <f t="shared" si="1"/>
        <v>100</v>
      </c>
      <c r="L11" s="513">
        <v>15</v>
      </c>
      <c r="M11" s="13">
        <f t="shared" si="12"/>
        <v>1428.5714285714282</v>
      </c>
      <c r="N11" s="12">
        <f t="shared" si="3"/>
        <v>95.238095238095212</v>
      </c>
      <c r="O11" s="14">
        <f t="shared" si="4"/>
        <v>0</v>
      </c>
      <c r="P11" s="15">
        <f t="shared" si="5"/>
        <v>-4.7619047619047876</v>
      </c>
      <c r="Q11" s="504">
        <f t="shared" si="6"/>
        <v>0.95238095238095211</v>
      </c>
      <c r="R11" s="615"/>
      <c r="S11" s="34">
        <v>0.28124999999999994</v>
      </c>
      <c r="T11" s="34">
        <v>0.36874999999999997</v>
      </c>
      <c r="U11" s="505">
        <f t="shared" ref="U11:U15" si="14">IF(S11=TIME(17,0,0),"",(S11-T10)*24*60)</f>
        <v>26.999999999999986</v>
      </c>
      <c r="V11" s="514">
        <f t="shared" si="13"/>
        <v>126.00000000000003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-71.428571428571786</v>
      </c>
      <c r="AF11" s="504">
        <f t="shared" si="9"/>
        <v>0.95238095238095211</v>
      </c>
      <c r="AG11" s="615"/>
    </row>
    <row r="12" spans="1:33" ht="15.75" customHeight="1">
      <c r="A12" s="648" t="s">
        <v>2581</v>
      </c>
      <c r="B12" s="29" t="s">
        <v>19</v>
      </c>
      <c r="C12" s="644" t="s">
        <v>21</v>
      </c>
      <c r="D12" s="645"/>
      <c r="E12" s="29">
        <v>39.799999999999997</v>
      </c>
      <c r="F12" s="515">
        <v>4800</v>
      </c>
      <c r="G12" s="505">
        <f t="shared" si="11"/>
        <v>191040</v>
      </c>
      <c r="H12" s="33">
        <v>2</v>
      </c>
      <c r="I12" s="513">
        <v>17</v>
      </c>
      <c r="J12" s="31">
        <v>1500</v>
      </c>
      <c r="K12" s="12">
        <f t="shared" si="1"/>
        <v>88.235294117647058</v>
      </c>
      <c r="L12" s="513">
        <v>17</v>
      </c>
      <c r="M12" s="13">
        <f t="shared" si="12"/>
        <v>1432.8358208955224</v>
      </c>
      <c r="N12" s="12">
        <f t="shared" si="3"/>
        <v>84.284460052677787</v>
      </c>
      <c r="O12" s="14">
        <f t="shared" si="4"/>
        <v>0</v>
      </c>
      <c r="P12" s="15">
        <f t="shared" si="5"/>
        <v>-3.9508340649692713</v>
      </c>
      <c r="Q12" s="504">
        <f t="shared" si="6"/>
        <v>0.95522388059701491</v>
      </c>
      <c r="R12" s="615"/>
      <c r="S12" s="34">
        <v>0.37291666666666662</v>
      </c>
      <c r="T12" s="34">
        <v>0.51249999999999996</v>
      </c>
      <c r="U12" s="505">
        <f t="shared" si="14"/>
        <v>5.9999999999999787</v>
      </c>
      <c r="V12" s="514">
        <f t="shared" si="13"/>
        <v>201</v>
      </c>
      <c r="W12" s="16">
        <f>T12</f>
        <v>0.51249999999999996</v>
      </c>
      <c r="X12" s="16">
        <f>S13</f>
        <v>0.5527777777777777</v>
      </c>
      <c r="Y12" s="16"/>
      <c r="Z12" s="16"/>
      <c r="AA12" s="617"/>
      <c r="AB12" s="617"/>
      <c r="AC12" s="35"/>
      <c r="AD12" s="18"/>
      <c r="AE12" s="14">
        <f t="shared" si="8"/>
        <v>-67.164179104477626</v>
      </c>
      <c r="AF12" s="504">
        <f t="shared" si="9"/>
        <v>0.95522388059701491</v>
      </c>
      <c r="AG12" s="615"/>
    </row>
    <row r="13" spans="1:33" ht="15.75" customHeight="1">
      <c r="A13" s="648" t="s">
        <v>2582</v>
      </c>
      <c r="B13" s="29" t="s">
        <v>19</v>
      </c>
      <c r="C13" s="644" t="s">
        <v>21</v>
      </c>
      <c r="D13" s="645"/>
      <c r="E13" s="29">
        <v>39.799999999999997</v>
      </c>
      <c r="F13" s="515">
        <v>3980</v>
      </c>
      <c r="G13" s="505">
        <f t="shared" si="11"/>
        <v>158404</v>
      </c>
      <c r="H13" s="33" t="s">
        <v>57</v>
      </c>
      <c r="I13" s="513">
        <v>17</v>
      </c>
      <c r="J13" s="31">
        <v>1500</v>
      </c>
      <c r="K13" s="12">
        <f t="shared" si="1"/>
        <v>88.235294117647058</v>
      </c>
      <c r="L13" s="513">
        <v>17</v>
      </c>
      <c r="M13" s="13">
        <f t="shared" si="12"/>
        <v>1429.9401197604784</v>
      </c>
      <c r="N13" s="12">
        <f t="shared" si="3"/>
        <v>84.114124691792853</v>
      </c>
      <c r="O13" s="14">
        <f t="shared" si="4"/>
        <v>0</v>
      </c>
      <c r="P13" s="15">
        <f t="shared" si="5"/>
        <v>-4.1211694258542053</v>
      </c>
      <c r="Q13" s="504">
        <f t="shared" si="6"/>
        <v>0.95329341317365235</v>
      </c>
      <c r="R13" s="615"/>
      <c r="S13" s="34">
        <v>0.5527777777777777</v>
      </c>
      <c r="T13" s="34">
        <v>0.66874999999999996</v>
      </c>
      <c r="U13" s="505">
        <f t="shared" si="14"/>
        <v>57.999999999999957</v>
      </c>
      <c r="V13" s="514">
        <f t="shared" si="13"/>
        <v>167.00000000000006</v>
      </c>
      <c r="W13" s="16"/>
      <c r="X13" s="16"/>
      <c r="Y13" s="16"/>
      <c r="Z13" s="16"/>
      <c r="AA13" s="624"/>
      <c r="AB13" s="625"/>
      <c r="AC13" s="35"/>
      <c r="AD13" s="18"/>
      <c r="AE13" s="14">
        <f t="shared" si="8"/>
        <v>-70.05988023952159</v>
      </c>
      <c r="AF13" s="504">
        <f t="shared" si="9"/>
        <v>0.95329341317365224</v>
      </c>
      <c r="AG13" s="615"/>
    </row>
    <row r="14" spans="1:33" ht="15.75" customHeight="1">
      <c r="A14" s="648" t="s">
        <v>2581</v>
      </c>
      <c r="B14" s="29" t="s">
        <v>19</v>
      </c>
      <c r="C14" s="644" t="s">
        <v>20</v>
      </c>
      <c r="D14" s="645"/>
      <c r="E14" s="29">
        <v>39.619999999999997</v>
      </c>
      <c r="F14" s="515">
        <v>2700</v>
      </c>
      <c r="G14" s="505">
        <f t="shared" si="11"/>
        <v>106974</v>
      </c>
      <c r="H14" s="33" t="s">
        <v>57</v>
      </c>
      <c r="I14" s="513">
        <v>19</v>
      </c>
      <c r="J14" s="31">
        <v>1500</v>
      </c>
      <c r="K14" s="12">
        <f t="shared" si="1"/>
        <v>78.94736842105263</v>
      </c>
      <c r="L14" s="513">
        <v>19</v>
      </c>
      <c r="M14" s="13">
        <f t="shared" si="12"/>
        <v>1433.6283185840698</v>
      </c>
      <c r="N14" s="12">
        <f t="shared" si="3"/>
        <v>75.454122030740521</v>
      </c>
      <c r="O14" s="14">
        <f t="shared" si="4"/>
        <v>0</v>
      </c>
      <c r="P14" s="15">
        <f t="shared" si="5"/>
        <v>-3.4932463903121089</v>
      </c>
      <c r="Q14" s="504">
        <f t="shared" si="6"/>
        <v>0.95575221238937991</v>
      </c>
      <c r="R14" s="615"/>
      <c r="S14" s="34">
        <v>0.67430555555555549</v>
      </c>
      <c r="T14" s="34">
        <v>0.75277777777777777</v>
      </c>
      <c r="U14" s="505">
        <f t="shared" si="14"/>
        <v>7.9999999999999716</v>
      </c>
      <c r="V14" s="514">
        <f t="shared" si="13"/>
        <v>113.00000000000009</v>
      </c>
      <c r="W14" s="16"/>
      <c r="X14" s="16"/>
      <c r="Y14" s="19"/>
      <c r="Z14" s="19"/>
      <c r="AA14" s="624"/>
      <c r="AB14" s="625"/>
      <c r="AC14" s="35"/>
      <c r="AD14" s="18"/>
      <c r="AE14" s="14">
        <f t="shared" si="8"/>
        <v>-66.371681415930198</v>
      </c>
      <c r="AF14" s="504">
        <f t="shared" si="9"/>
        <v>0.95575221238937991</v>
      </c>
      <c r="AG14" s="615"/>
    </row>
    <row r="15" spans="1:33" ht="15.75" customHeight="1">
      <c r="A15" s="648" t="s">
        <v>2582</v>
      </c>
      <c r="B15" s="29" t="s">
        <v>19</v>
      </c>
      <c r="C15" s="644" t="s">
        <v>83</v>
      </c>
      <c r="D15" s="645"/>
      <c r="E15" s="29">
        <v>39.46</v>
      </c>
      <c r="F15" s="515">
        <v>2230</v>
      </c>
      <c r="G15" s="505">
        <f t="shared" si="11"/>
        <v>87995.8</v>
      </c>
      <c r="H15" s="33" t="s">
        <v>57</v>
      </c>
      <c r="I15" s="513">
        <v>15</v>
      </c>
      <c r="J15" s="31">
        <v>1500</v>
      </c>
      <c r="K15" s="12">
        <f t="shared" si="1"/>
        <v>100</v>
      </c>
      <c r="L15" s="513">
        <v>15</v>
      </c>
      <c r="M15" s="13">
        <f t="shared" si="12"/>
        <v>1438.7096774193551</v>
      </c>
      <c r="N15" s="12">
        <f t="shared" si="3"/>
        <v>95.913978494623677</v>
      </c>
      <c r="O15" s="14">
        <f t="shared" si="4"/>
        <v>0</v>
      </c>
      <c r="P15" s="15">
        <f t="shared" si="5"/>
        <v>-4.0860215053763227</v>
      </c>
      <c r="Q15" s="504">
        <f t="shared" si="6"/>
        <v>0.95913978494623675</v>
      </c>
      <c r="R15" s="615"/>
      <c r="S15" s="34">
        <v>0.75624999999999998</v>
      </c>
      <c r="T15" s="34">
        <v>0.8208333333333333</v>
      </c>
      <c r="U15" s="505">
        <f t="shared" si="14"/>
        <v>4.9999999999999822</v>
      </c>
      <c r="V15" s="514">
        <f t="shared" si="13"/>
        <v>92.999999999999986</v>
      </c>
      <c r="W15" s="16"/>
      <c r="X15" s="16"/>
      <c r="Y15" s="19"/>
      <c r="Z15" s="19"/>
      <c r="AA15" s="624"/>
      <c r="AB15" s="625"/>
      <c r="AC15" s="35"/>
      <c r="AD15" s="18"/>
      <c r="AE15" s="14">
        <f t="shared" si="8"/>
        <v>-61.290322580644897</v>
      </c>
      <c r="AF15" s="504">
        <f t="shared" si="9"/>
        <v>0.95913978494623675</v>
      </c>
      <c r="AG15" s="615"/>
    </row>
    <row r="16" spans="1:33" ht="16.5" customHeight="1">
      <c r="A16" s="648" t="s">
        <v>2581</v>
      </c>
      <c r="B16" s="29" t="s">
        <v>2583</v>
      </c>
      <c r="C16" s="618"/>
      <c r="D16" s="618"/>
      <c r="E16" s="507"/>
      <c r="F16" s="31"/>
      <c r="G16" s="13"/>
      <c r="H16" s="515"/>
      <c r="I16" s="23">
        <v>17</v>
      </c>
      <c r="J16" s="31">
        <v>1500</v>
      </c>
      <c r="K16" s="12">
        <f t="shared" si="1"/>
        <v>88.235294117647058</v>
      </c>
      <c r="L16" s="23">
        <v>17</v>
      </c>
      <c r="M16" s="13">
        <f>AVERAGE(M10:M15)</f>
        <v>1433.0779956544175</v>
      </c>
      <c r="N16" s="12">
        <f t="shared" si="3"/>
        <v>84.298705626730438</v>
      </c>
      <c r="O16" s="14">
        <f t="shared" si="4"/>
        <v>0</v>
      </c>
      <c r="P16" s="15">
        <f t="shared" si="5"/>
        <v>-3.9365884909166198</v>
      </c>
      <c r="Q16" s="504">
        <f t="shared" si="6"/>
        <v>0.95538533043627827</v>
      </c>
      <c r="R16" s="615"/>
      <c r="S16" s="34"/>
      <c r="T16" s="34"/>
      <c r="U16" s="12"/>
      <c r="V16" s="514"/>
      <c r="W16" s="12"/>
      <c r="X16" s="12"/>
      <c r="Y16" s="24">
        <f>SUM(Y10:Y15)</f>
        <v>0</v>
      </c>
      <c r="Z16" s="24">
        <f>SUM(Z10:Z15)</f>
        <v>0</v>
      </c>
      <c r="AA16" s="614"/>
      <c r="AB16" s="614"/>
      <c r="AC16" s="24">
        <v>6</v>
      </c>
      <c r="AD16" s="24">
        <f>SUM(AD10:AD15)</f>
        <v>0</v>
      </c>
      <c r="AE16" s="14">
        <f t="shared" si="8"/>
        <v>-66.922004345582536</v>
      </c>
      <c r="AF16" s="504">
        <f t="shared" si="9"/>
        <v>0.95538533043627827</v>
      </c>
      <c r="AG16" s="615"/>
    </row>
    <row r="17" spans="1:33" ht="16.5" customHeight="1">
      <c r="A17" s="646" t="s">
        <v>2584</v>
      </c>
      <c r="B17" s="515" t="s">
        <v>22</v>
      </c>
      <c r="C17" s="640" t="s">
        <v>87</v>
      </c>
      <c r="D17" s="640"/>
      <c r="E17" s="29">
        <v>38.619999999999997</v>
      </c>
      <c r="F17" s="515">
        <v>2707</v>
      </c>
      <c r="G17" s="505">
        <f t="shared" ref="G17:G23" si="15">E17*F17</f>
        <v>104544.34</v>
      </c>
      <c r="H17" s="33" t="s">
        <v>57</v>
      </c>
      <c r="I17" s="513">
        <v>24</v>
      </c>
      <c r="J17" s="31">
        <v>1500</v>
      </c>
      <c r="K17" s="12">
        <f t="shared" si="1"/>
        <v>62.5</v>
      </c>
      <c r="L17" s="513">
        <v>24</v>
      </c>
      <c r="M17" s="13">
        <f t="shared" ref="M17:M23" si="16">F17/V17*60</f>
        <v>1437.3451327433634</v>
      </c>
      <c r="N17" s="12">
        <f t="shared" si="3"/>
        <v>59.889380530973476</v>
      </c>
      <c r="O17" s="14">
        <f t="shared" si="4"/>
        <v>0</v>
      </c>
      <c r="P17" s="15">
        <f t="shared" si="5"/>
        <v>-2.6106194690265241</v>
      </c>
      <c r="Q17" s="504">
        <f t="shared" si="6"/>
        <v>0.95823008849557556</v>
      </c>
      <c r="R17" s="615">
        <f>Q24</f>
        <v>0.96185490851702271</v>
      </c>
      <c r="S17" s="34">
        <v>8.3333333333333329E-2</v>
      </c>
      <c r="T17" s="34">
        <v>0.16180555555555554</v>
      </c>
      <c r="U17" s="505"/>
      <c r="V17" s="514">
        <f t="shared" ref="V17:V23" si="17">(T17-S17)*24*60</f>
        <v>112.99999999999997</v>
      </c>
      <c r="W17" s="16">
        <f>T17</f>
        <v>0.16180555555555554</v>
      </c>
      <c r="X17" s="16">
        <f>S18</f>
        <v>0.18055555555555555</v>
      </c>
      <c r="Y17" s="21"/>
      <c r="Z17" s="21"/>
      <c r="AA17" s="617"/>
      <c r="AB17" s="617"/>
      <c r="AC17" s="35">
        <v>7</v>
      </c>
      <c r="AD17" s="18"/>
      <c r="AE17" s="14">
        <f t="shared" si="8"/>
        <v>-62.654867256636635</v>
      </c>
      <c r="AF17" s="504">
        <f t="shared" si="9"/>
        <v>0.95823008849557556</v>
      </c>
      <c r="AG17" s="615">
        <f>AF24</f>
        <v>0.96185490851702282</v>
      </c>
    </row>
    <row r="18" spans="1:33" ht="16.5" customHeight="1">
      <c r="A18" s="647" t="s">
        <v>8</v>
      </c>
      <c r="B18" s="515" t="s">
        <v>22</v>
      </c>
      <c r="C18" s="640" t="s">
        <v>23</v>
      </c>
      <c r="D18" s="640"/>
      <c r="E18" s="29">
        <v>41</v>
      </c>
      <c r="F18" s="515">
        <v>2283</v>
      </c>
      <c r="G18" s="505">
        <f t="shared" si="15"/>
        <v>93603</v>
      </c>
      <c r="H18" s="33" t="s">
        <v>57</v>
      </c>
      <c r="I18" s="513">
        <v>26</v>
      </c>
      <c r="J18" s="31">
        <v>1500</v>
      </c>
      <c r="K18" s="12">
        <f t="shared" si="1"/>
        <v>57.692307692307693</v>
      </c>
      <c r="L18" s="513">
        <v>26</v>
      </c>
      <c r="M18" s="13">
        <f t="shared" si="16"/>
        <v>1441.8947368421047</v>
      </c>
      <c r="N18" s="12">
        <f t="shared" si="3"/>
        <v>55.457489878542489</v>
      </c>
      <c r="O18" s="14">
        <f t="shared" si="4"/>
        <v>0</v>
      </c>
      <c r="P18" s="15">
        <f t="shared" si="5"/>
        <v>-2.2348178137652042</v>
      </c>
      <c r="Q18" s="504">
        <f t="shared" si="6"/>
        <v>0.96126315789473649</v>
      </c>
      <c r="R18" s="615"/>
      <c r="S18" s="34">
        <v>0.18055555555555555</v>
      </c>
      <c r="T18" s="34">
        <v>0.24652777777777779</v>
      </c>
      <c r="U18" s="505">
        <f t="shared" ref="U18:U23" si="18">IF(S18=TIME(17,0,0),"",(S18-T17)*24*60)</f>
        <v>27.000000000000025</v>
      </c>
      <c r="V18" s="514">
        <f t="shared" si="17"/>
        <v>95.000000000000028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-58.105263157895251</v>
      </c>
      <c r="AF18" s="504">
        <f t="shared" si="9"/>
        <v>0.96126315789473649</v>
      </c>
      <c r="AG18" s="615"/>
    </row>
    <row r="19" spans="1:33" ht="16.5" customHeight="1">
      <c r="A19" s="647" t="s">
        <v>8</v>
      </c>
      <c r="B19" s="515" t="s">
        <v>15</v>
      </c>
      <c r="C19" s="640" t="s">
        <v>86</v>
      </c>
      <c r="D19" s="640"/>
      <c r="E19" s="29">
        <v>37.03</v>
      </c>
      <c r="F19" s="515">
        <v>3816</v>
      </c>
      <c r="G19" s="505">
        <f t="shared" si="15"/>
        <v>141306.48000000001</v>
      </c>
      <c r="H19" s="33" t="s">
        <v>57</v>
      </c>
      <c r="I19" s="513">
        <v>13</v>
      </c>
      <c r="J19" s="31">
        <v>1500</v>
      </c>
      <c r="K19" s="12">
        <f t="shared" si="1"/>
        <v>115.38461538461539</v>
      </c>
      <c r="L19" s="513">
        <v>13</v>
      </c>
      <c r="M19" s="13">
        <f t="shared" si="16"/>
        <v>1431</v>
      </c>
      <c r="N19" s="12">
        <f t="shared" si="3"/>
        <v>110.07692307692308</v>
      </c>
      <c r="O19" s="14">
        <f t="shared" si="4"/>
        <v>0</v>
      </c>
      <c r="P19" s="15">
        <f t="shared" si="5"/>
        <v>-5.3076923076923066</v>
      </c>
      <c r="Q19" s="504">
        <f t="shared" si="6"/>
        <v>0.95399999999999996</v>
      </c>
      <c r="R19" s="615"/>
      <c r="S19" s="34">
        <v>0.25208333333333333</v>
      </c>
      <c r="T19" s="34">
        <v>0.36319444444444443</v>
      </c>
      <c r="U19" s="505">
        <f t="shared" si="18"/>
        <v>7.9999999999999716</v>
      </c>
      <c r="V19" s="514">
        <f t="shared" si="17"/>
        <v>160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-69</v>
      </c>
      <c r="AF19" s="504">
        <f t="shared" si="9"/>
        <v>0.95399999999999996</v>
      </c>
      <c r="AG19" s="615"/>
    </row>
    <row r="20" spans="1:33" ht="16.5" customHeight="1">
      <c r="A20" s="647" t="s">
        <v>8</v>
      </c>
      <c r="B20" s="515" t="s">
        <v>19</v>
      </c>
      <c r="C20" s="640" t="s">
        <v>267</v>
      </c>
      <c r="D20" s="640"/>
      <c r="E20" s="29">
        <v>39.520000000000003</v>
      </c>
      <c r="F20" s="515">
        <v>3904</v>
      </c>
      <c r="G20" s="505">
        <f t="shared" si="15"/>
        <v>154286.08000000002</v>
      </c>
      <c r="H20" s="33" t="s">
        <v>57</v>
      </c>
      <c r="I20" s="513">
        <v>19</v>
      </c>
      <c r="J20" s="31">
        <v>1500</v>
      </c>
      <c r="K20" s="12">
        <f t="shared" si="1"/>
        <v>78.94736842105263</v>
      </c>
      <c r="L20" s="513">
        <v>19</v>
      </c>
      <c r="M20" s="13">
        <f t="shared" si="16"/>
        <v>1437.0552147239266</v>
      </c>
      <c r="N20" s="12">
        <f t="shared" si="3"/>
        <v>75.634484985469825</v>
      </c>
      <c r="O20" s="14">
        <f t="shared" si="4"/>
        <v>0</v>
      </c>
      <c r="P20" s="15">
        <f t="shared" si="5"/>
        <v>-3.3128834355828047</v>
      </c>
      <c r="Q20" s="504">
        <f t="shared" si="6"/>
        <v>0.95803680981595118</v>
      </c>
      <c r="R20" s="615"/>
      <c r="S20" s="34">
        <v>0.36736111111111108</v>
      </c>
      <c r="T20" s="34">
        <v>0.48055555555555551</v>
      </c>
      <c r="U20" s="505">
        <f t="shared" si="18"/>
        <v>5.9999999999999787</v>
      </c>
      <c r="V20" s="514">
        <f t="shared" si="17"/>
        <v>162.99999999999997</v>
      </c>
      <c r="W20" s="16"/>
      <c r="X20" s="16"/>
      <c r="Y20" s="16"/>
      <c r="Z20" s="16"/>
      <c r="AA20" s="617"/>
      <c r="AB20" s="617"/>
      <c r="AC20" s="35"/>
      <c r="AD20" s="18"/>
      <c r="AE20" s="14">
        <f t="shared" si="8"/>
        <v>-62.944785276073389</v>
      </c>
      <c r="AF20" s="504">
        <f t="shared" si="9"/>
        <v>0.95803680981595107</v>
      </c>
      <c r="AG20" s="615"/>
    </row>
    <row r="21" spans="1:33" ht="16.5" customHeight="1">
      <c r="A21" s="647" t="s">
        <v>2584</v>
      </c>
      <c r="B21" s="515" t="s">
        <v>15</v>
      </c>
      <c r="C21" s="640" t="s">
        <v>25</v>
      </c>
      <c r="D21" s="640"/>
      <c r="E21" s="29">
        <v>53.68</v>
      </c>
      <c r="F21" s="515">
        <v>1212</v>
      </c>
      <c r="G21" s="505">
        <f t="shared" si="15"/>
        <v>65060.159999999996</v>
      </c>
      <c r="H21" s="33" t="s">
        <v>57</v>
      </c>
      <c r="I21" s="513">
        <v>16</v>
      </c>
      <c r="J21" s="31">
        <v>1500</v>
      </c>
      <c r="K21" s="12">
        <f t="shared" si="1"/>
        <v>93.75</v>
      </c>
      <c r="L21" s="513">
        <v>16</v>
      </c>
      <c r="M21" s="13">
        <f t="shared" si="16"/>
        <v>1454.4000000000003</v>
      </c>
      <c r="N21" s="12">
        <f t="shared" si="3"/>
        <v>90.90000000000002</v>
      </c>
      <c r="O21" s="14">
        <f t="shared" si="4"/>
        <v>0</v>
      </c>
      <c r="P21" s="15">
        <f t="shared" si="5"/>
        <v>-2.8499999999999801</v>
      </c>
      <c r="Q21" s="504">
        <f t="shared" si="6"/>
        <v>0.96960000000000024</v>
      </c>
      <c r="R21" s="615"/>
      <c r="S21" s="34">
        <v>0.70833333333333337</v>
      </c>
      <c r="T21" s="34">
        <v>0.74305555555555558</v>
      </c>
      <c r="U21" s="505" t="str">
        <f t="shared" si="18"/>
        <v/>
      </c>
      <c r="V21" s="514">
        <f t="shared" si="17"/>
        <v>49.999999999999986</v>
      </c>
      <c r="W21" s="16"/>
      <c r="X21" s="16"/>
      <c r="Y21" s="16"/>
      <c r="Z21" s="16"/>
      <c r="AA21" s="617"/>
      <c r="AB21" s="617"/>
      <c r="AC21" s="35"/>
      <c r="AD21" s="18"/>
      <c r="AE21" s="14">
        <f t="shared" si="8"/>
        <v>-45.599999999999682</v>
      </c>
      <c r="AF21" s="504">
        <f t="shared" si="9"/>
        <v>0.96960000000000024</v>
      </c>
      <c r="AG21" s="615"/>
    </row>
    <row r="22" spans="1:33" ht="16.5" customHeight="1">
      <c r="A22" s="647" t="s">
        <v>2584</v>
      </c>
      <c r="B22" s="515" t="s">
        <v>15</v>
      </c>
      <c r="C22" s="517" t="s">
        <v>18</v>
      </c>
      <c r="D22" s="518"/>
      <c r="E22" s="29">
        <v>52.86</v>
      </c>
      <c r="F22" s="515">
        <v>1424</v>
      </c>
      <c r="G22" s="505">
        <f t="shared" si="15"/>
        <v>75272.639999999999</v>
      </c>
      <c r="H22" s="33" t="s">
        <v>57</v>
      </c>
      <c r="I22" s="513">
        <v>16</v>
      </c>
      <c r="J22" s="31">
        <v>2000</v>
      </c>
      <c r="K22" s="12">
        <f t="shared" si="1"/>
        <v>125</v>
      </c>
      <c r="L22" s="513">
        <v>16</v>
      </c>
      <c r="M22" s="13">
        <f t="shared" si="16"/>
        <v>1941.818181818182</v>
      </c>
      <c r="N22" s="12">
        <f t="shared" si="3"/>
        <v>121.36363636363637</v>
      </c>
      <c r="O22" s="14">
        <f t="shared" si="4"/>
        <v>0</v>
      </c>
      <c r="P22" s="15">
        <f t="shared" si="5"/>
        <v>-3.636363636363626</v>
      </c>
      <c r="Q22" s="504">
        <f t="shared" si="6"/>
        <v>0.97090909090909094</v>
      </c>
      <c r="R22" s="615"/>
      <c r="S22" s="34">
        <v>0.74791666666666667</v>
      </c>
      <c r="T22" s="34">
        <v>0.77847222222222223</v>
      </c>
      <c r="U22" s="505">
        <f t="shared" si="18"/>
        <v>6.9999999999999751</v>
      </c>
      <c r="V22" s="514">
        <f t="shared" si="17"/>
        <v>44</v>
      </c>
      <c r="W22" s="16"/>
      <c r="X22" s="16"/>
      <c r="Y22" s="19"/>
      <c r="Z22" s="19"/>
      <c r="AA22" s="511"/>
      <c r="AB22" s="512"/>
      <c r="AC22" s="35"/>
      <c r="AD22" s="18"/>
      <c r="AE22" s="14">
        <f t="shared" si="8"/>
        <v>-58.181818181818016</v>
      </c>
      <c r="AF22" s="504">
        <f t="shared" si="9"/>
        <v>0.97090909090909094</v>
      </c>
      <c r="AG22" s="615"/>
    </row>
    <row r="23" spans="1:33" ht="16.5" customHeight="1">
      <c r="A23" s="647" t="s">
        <v>2584</v>
      </c>
      <c r="B23" s="515" t="s">
        <v>15</v>
      </c>
      <c r="C23" s="517" t="s">
        <v>16</v>
      </c>
      <c r="D23" s="518"/>
      <c r="E23" s="29">
        <v>50.67</v>
      </c>
      <c r="F23" s="515">
        <v>1758</v>
      </c>
      <c r="G23" s="505">
        <f t="shared" si="15"/>
        <v>89077.86</v>
      </c>
      <c r="H23" s="33" t="s">
        <v>57</v>
      </c>
      <c r="I23" s="513">
        <v>17</v>
      </c>
      <c r="J23" s="31">
        <v>2000</v>
      </c>
      <c r="K23" s="12">
        <f t="shared" si="1"/>
        <v>117.64705882352941</v>
      </c>
      <c r="L23" s="513">
        <v>17</v>
      </c>
      <c r="M23" s="13">
        <f t="shared" si="16"/>
        <v>1917.8181818181831</v>
      </c>
      <c r="N23" s="12">
        <f t="shared" si="3"/>
        <v>112.812834224599</v>
      </c>
      <c r="O23" s="14">
        <f t="shared" si="4"/>
        <v>0</v>
      </c>
      <c r="P23" s="15">
        <f t="shared" si="5"/>
        <v>-4.8342245989304047</v>
      </c>
      <c r="Q23" s="504">
        <f t="shared" si="6"/>
        <v>0.9589090909090916</v>
      </c>
      <c r="R23" s="615"/>
      <c r="S23" s="34">
        <v>0.78333333333333333</v>
      </c>
      <c r="T23" s="34">
        <v>0.82152777777777775</v>
      </c>
      <c r="U23" s="505">
        <f t="shared" si="18"/>
        <v>6.9999999999999751</v>
      </c>
      <c r="V23" s="514">
        <f t="shared" si="17"/>
        <v>54.999999999999964</v>
      </c>
      <c r="W23" s="16"/>
      <c r="X23" s="16"/>
      <c r="Y23" s="19"/>
      <c r="Z23" s="19"/>
      <c r="AA23" s="511"/>
      <c r="AB23" s="512"/>
      <c r="AC23" s="35"/>
      <c r="AD23" s="18"/>
      <c r="AE23" s="14">
        <f t="shared" si="8"/>
        <v>-82.18181818181688</v>
      </c>
      <c r="AF23" s="504">
        <f t="shared" si="9"/>
        <v>0.9589090909090916</v>
      </c>
      <c r="AG23" s="615"/>
    </row>
    <row r="24" spans="1:33" ht="16.5" customHeight="1">
      <c r="A24" s="647" t="s">
        <v>2584</v>
      </c>
      <c r="B24" s="29" t="s">
        <v>2583</v>
      </c>
      <c r="C24" s="618"/>
      <c r="D24" s="618"/>
      <c r="E24" s="507"/>
      <c r="F24" s="30"/>
      <c r="G24" s="12"/>
      <c r="H24" s="515"/>
      <c r="I24" s="23">
        <v>18.714285714285715</v>
      </c>
      <c r="J24" s="31">
        <v>1642.8571428571429</v>
      </c>
      <c r="K24" s="12">
        <f t="shared" si="1"/>
        <v>87.786259541984734</v>
      </c>
      <c r="L24" s="23">
        <v>18.714285714285715</v>
      </c>
      <c r="M24" s="13">
        <f>AVERAGE(M17:M23)</f>
        <v>1580.1902068493946</v>
      </c>
      <c r="N24" s="12">
        <f t="shared" si="3"/>
        <v>84.437644640807335</v>
      </c>
      <c r="O24" s="14">
        <f t="shared" si="4"/>
        <v>0</v>
      </c>
      <c r="P24" s="15">
        <f t="shared" si="5"/>
        <v>-3.3486149011773989</v>
      </c>
      <c r="Q24" s="504">
        <f t="shared" si="6"/>
        <v>0.96185490851702271</v>
      </c>
      <c r="R24" s="615"/>
      <c r="S24" s="34"/>
      <c r="T24" s="34"/>
      <c r="U24" s="505"/>
      <c r="V24" s="514"/>
      <c r="W24" s="12"/>
      <c r="X24" s="12"/>
      <c r="Y24" s="24">
        <f>SUM(Y17:Y23)</f>
        <v>0</v>
      </c>
      <c r="Z24" s="24">
        <f>SUM(Z17:Z23)</f>
        <v>0</v>
      </c>
      <c r="AA24" s="614"/>
      <c r="AB24" s="614"/>
      <c r="AC24" s="24">
        <v>7</v>
      </c>
      <c r="AD24" s="24">
        <f>SUM(AD17:AD23)</f>
        <v>0</v>
      </c>
      <c r="AE24" s="14">
        <f t="shared" si="8"/>
        <v>-62.666936007748291</v>
      </c>
      <c r="AF24" s="504">
        <f t="shared" si="9"/>
        <v>0.96185490851702282</v>
      </c>
      <c r="AG24" s="615"/>
    </row>
    <row r="25" spans="1:33" ht="15.75" customHeight="1">
      <c r="A25" s="642" t="s">
        <v>9</v>
      </c>
      <c r="B25" s="29" t="s">
        <v>15</v>
      </c>
      <c r="C25" s="640" t="s">
        <v>28</v>
      </c>
      <c r="D25" s="640"/>
      <c r="E25" s="29">
        <v>50.67</v>
      </c>
      <c r="F25" s="515">
        <v>2483</v>
      </c>
      <c r="G25" s="505">
        <f t="shared" ref="G25:G30" si="19">E25*F25</f>
        <v>125813.61</v>
      </c>
      <c r="H25" s="33" t="s">
        <v>57</v>
      </c>
      <c r="I25" s="513">
        <v>17</v>
      </c>
      <c r="J25" s="31">
        <v>2000</v>
      </c>
      <c r="K25" s="12">
        <f t="shared" si="1"/>
        <v>117.64705882352941</v>
      </c>
      <c r="L25" s="513">
        <v>17</v>
      </c>
      <c r="M25" s="13">
        <f t="shared" ref="M25:M30" si="20">F25/V25*60</f>
        <v>1910</v>
      </c>
      <c r="N25" s="12">
        <f t="shared" si="3"/>
        <v>112.35294117647059</v>
      </c>
      <c r="O25" s="14">
        <f t="shared" si="4"/>
        <v>0</v>
      </c>
      <c r="P25" s="15">
        <f t="shared" si="5"/>
        <v>-5.2941176470588118</v>
      </c>
      <c r="Q25" s="504">
        <f t="shared" si="6"/>
        <v>0.95500000000000007</v>
      </c>
      <c r="R25" s="615">
        <f>Q31</f>
        <v>0.95396403072421998</v>
      </c>
      <c r="S25" s="34">
        <v>0.20833333333333334</v>
      </c>
      <c r="T25" s="34">
        <v>0.26250000000000001</v>
      </c>
      <c r="U25" s="505"/>
      <c r="V25" s="514">
        <f t="shared" ref="V25:V30" si="21">(T25-S25)*24*60</f>
        <v>78</v>
      </c>
      <c r="W25" s="21"/>
      <c r="X25" s="21"/>
      <c r="Y25" s="21"/>
      <c r="Z25" s="21"/>
      <c r="AA25" s="617"/>
      <c r="AB25" s="617"/>
      <c r="AC25" s="35">
        <v>6</v>
      </c>
      <c r="AD25" s="18"/>
      <c r="AE25" s="14">
        <f t="shared" si="8"/>
        <v>-90</v>
      </c>
      <c r="AF25" s="504">
        <f t="shared" si="9"/>
        <v>0.95499999999999996</v>
      </c>
      <c r="AG25" s="615">
        <f>AF31</f>
        <v>0.95396403072421987</v>
      </c>
    </row>
    <row r="26" spans="1:33" ht="15.75" customHeight="1">
      <c r="A26" s="643" t="s">
        <v>2585</v>
      </c>
      <c r="B26" s="29" t="s">
        <v>15</v>
      </c>
      <c r="C26" s="640" t="s">
        <v>29</v>
      </c>
      <c r="D26" s="640"/>
      <c r="E26" s="29">
        <v>57.73</v>
      </c>
      <c r="F26" s="515">
        <v>2989</v>
      </c>
      <c r="G26" s="505">
        <f t="shared" si="19"/>
        <v>172554.97</v>
      </c>
      <c r="H26" s="33" t="s">
        <v>57</v>
      </c>
      <c r="I26" s="513">
        <v>14</v>
      </c>
      <c r="J26" s="31">
        <v>2000</v>
      </c>
      <c r="K26" s="12">
        <f t="shared" si="1"/>
        <v>142.85714285714286</v>
      </c>
      <c r="L26" s="513">
        <v>14</v>
      </c>
      <c r="M26" s="13">
        <f t="shared" si="20"/>
        <v>1907.8723404255322</v>
      </c>
      <c r="N26" s="12">
        <f t="shared" si="3"/>
        <v>136.27659574468086</v>
      </c>
      <c r="O26" s="14">
        <f t="shared" si="4"/>
        <v>0</v>
      </c>
      <c r="P26" s="15">
        <f t="shared" si="5"/>
        <v>-6.5805471124619999</v>
      </c>
      <c r="Q26" s="504">
        <f t="shared" si="6"/>
        <v>0.953936170212766</v>
      </c>
      <c r="R26" s="615"/>
      <c r="S26" s="34">
        <v>0.26805555555555555</v>
      </c>
      <c r="T26" s="34">
        <v>0.33333333333333331</v>
      </c>
      <c r="U26" s="505">
        <f t="shared" ref="U26:U30" si="22">IF(S26=TIME(17,0,0),"",(S26-T25)*24*60)</f>
        <v>7.9999999999999716</v>
      </c>
      <c r="V26" s="514">
        <f t="shared" si="21"/>
        <v>93.999999999999986</v>
      </c>
      <c r="W26" s="16"/>
      <c r="X26" s="505"/>
      <c r="Y26" s="505"/>
      <c r="Z26" s="505"/>
      <c r="AA26" s="617"/>
      <c r="AB26" s="617"/>
      <c r="AC26" s="35"/>
      <c r="AD26" s="18"/>
      <c r="AE26" s="14">
        <f t="shared" si="8"/>
        <v>-92.127659574467771</v>
      </c>
      <c r="AF26" s="504">
        <f t="shared" si="9"/>
        <v>0.95393617021276611</v>
      </c>
      <c r="AG26" s="615"/>
    </row>
    <row r="27" spans="1:33" ht="15.75" customHeight="1">
      <c r="A27" s="643" t="s">
        <v>2585</v>
      </c>
      <c r="B27" s="29" t="s">
        <v>15</v>
      </c>
      <c r="C27" s="640" t="s">
        <v>80</v>
      </c>
      <c r="D27" s="640"/>
      <c r="E27" s="29">
        <v>53.27</v>
      </c>
      <c r="F27" s="515">
        <v>2039</v>
      </c>
      <c r="G27" s="505">
        <f t="shared" si="19"/>
        <v>108617.53000000001</v>
      </c>
      <c r="H27" s="33" t="s">
        <v>57</v>
      </c>
      <c r="I27" s="513">
        <v>16</v>
      </c>
      <c r="J27" s="31">
        <v>2000</v>
      </c>
      <c r="K27" s="12">
        <f t="shared" si="1"/>
        <v>125</v>
      </c>
      <c r="L27" s="513">
        <v>16</v>
      </c>
      <c r="M27" s="13">
        <f t="shared" si="20"/>
        <v>1911.5624999999995</v>
      </c>
      <c r="N27" s="12">
        <f t="shared" si="3"/>
        <v>119.47265624999997</v>
      </c>
      <c r="O27" s="14">
        <f t="shared" si="4"/>
        <v>0</v>
      </c>
      <c r="P27" s="15">
        <f t="shared" si="5"/>
        <v>-5.5273437500000284</v>
      </c>
      <c r="Q27" s="504">
        <f t="shared" si="6"/>
        <v>0.9557812499999998</v>
      </c>
      <c r="R27" s="615"/>
      <c r="S27" s="34">
        <v>0.33680555555555552</v>
      </c>
      <c r="T27" s="34">
        <v>0.38124999999999998</v>
      </c>
      <c r="U27" s="505">
        <f t="shared" si="22"/>
        <v>4.9999999999999822</v>
      </c>
      <c r="V27" s="514">
        <f t="shared" si="21"/>
        <v>64.000000000000014</v>
      </c>
      <c r="W27" s="16"/>
      <c r="X27" s="505"/>
      <c r="Y27" s="505"/>
      <c r="Z27" s="505"/>
      <c r="AA27" s="617"/>
      <c r="AB27" s="617"/>
      <c r="AC27" s="35"/>
      <c r="AD27" s="18"/>
      <c r="AE27" s="14">
        <f t="shared" si="8"/>
        <v>-88.437500000000455</v>
      </c>
      <c r="AF27" s="504">
        <f t="shared" si="9"/>
        <v>0.9557812499999998</v>
      </c>
      <c r="AG27" s="615"/>
    </row>
    <row r="28" spans="1:33" ht="15.75" customHeight="1">
      <c r="A28" s="643" t="s">
        <v>2585</v>
      </c>
      <c r="B28" s="29" t="s">
        <v>15</v>
      </c>
      <c r="C28" s="640" t="s">
        <v>1472</v>
      </c>
      <c r="D28" s="640"/>
      <c r="E28" s="29">
        <v>51.44</v>
      </c>
      <c r="F28" s="515">
        <v>2570</v>
      </c>
      <c r="G28" s="505">
        <f t="shared" si="19"/>
        <v>132200.79999999999</v>
      </c>
      <c r="H28" s="33" t="s">
        <v>57</v>
      </c>
      <c r="I28" s="513">
        <v>25</v>
      </c>
      <c r="J28" s="31">
        <v>2000</v>
      </c>
      <c r="K28" s="12">
        <f t="shared" si="1"/>
        <v>80</v>
      </c>
      <c r="L28" s="513">
        <v>25</v>
      </c>
      <c r="M28" s="13">
        <f t="shared" si="20"/>
        <v>1903.703703703703</v>
      </c>
      <c r="N28" s="12">
        <f t="shared" si="3"/>
        <v>76.148148148148124</v>
      </c>
      <c r="O28" s="14">
        <f t="shared" si="4"/>
        <v>0</v>
      </c>
      <c r="P28" s="15">
        <f t="shared" si="5"/>
        <v>-3.8518518518518761</v>
      </c>
      <c r="Q28" s="504">
        <f t="shared" si="6"/>
        <v>0.9518518518518515</v>
      </c>
      <c r="R28" s="615"/>
      <c r="S28" s="34">
        <v>0.38472222222222219</v>
      </c>
      <c r="T28" s="34">
        <v>0.44097222222222221</v>
      </c>
      <c r="U28" s="505">
        <f t="shared" si="22"/>
        <v>4.9999999999999822</v>
      </c>
      <c r="V28" s="514">
        <f t="shared" si="21"/>
        <v>81.000000000000028</v>
      </c>
      <c r="W28" s="16"/>
      <c r="X28" s="505"/>
      <c r="Y28" s="505"/>
      <c r="Z28" s="505"/>
      <c r="AA28" s="617"/>
      <c r="AB28" s="617"/>
      <c r="AC28" s="35"/>
      <c r="AD28" s="18"/>
      <c r="AE28" s="14">
        <f t="shared" si="8"/>
        <v>-96.296296296296987</v>
      </c>
      <c r="AF28" s="504">
        <f t="shared" si="9"/>
        <v>0.9518518518518515</v>
      </c>
      <c r="AG28" s="615"/>
    </row>
    <row r="29" spans="1:33" ht="15.75" customHeight="1">
      <c r="A29" s="643" t="s">
        <v>2585</v>
      </c>
      <c r="B29" s="29" t="s">
        <v>15</v>
      </c>
      <c r="C29" s="640" t="s">
        <v>30</v>
      </c>
      <c r="D29" s="640"/>
      <c r="E29" s="29">
        <v>50.49</v>
      </c>
      <c r="F29" s="515">
        <v>2291</v>
      </c>
      <c r="G29" s="505">
        <f t="shared" si="19"/>
        <v>115672.59000000001</v>
      </c>
      <c r="H29" s="33" t="s">
        <v>57</v>
      </c>
      <c r="I29" s="513">
        <v>15</v>
      </c>
      <c r="J29" s="31">
        <v>2000</v>
      </c>
      <c r="K29" s="12">
        <f t="shared" si="1"/>
        <v>133.33333333333334</v>
      </c>
      <c r="L29" s="513">
        <v>15</v>
      </c>
      <c r="M29" s="13">
        <f t="shared" si="20"/>
        <v>1909.1666666666652</v>
      </c>
      <c r="N29" s="12">
        <f t="shared" si="3"/>
        <v>127.27777777777767</v>
      </c>
      <c r="O29" s="14">
        <f t="shared" si="4"/>
        <v>0</v>
      </c>
      <c r="P29" s="15">
        <f t="shared" si="5"/>
        <v>-6.0555555555556708</v>
      </c>
      <c r="Q29" s="504">
        <f t="shared" si="6"/>
        <v>0.95458333333333245</v>
      </c>
      <c r="R29" s="615"/>
      <c r="S29" s="34">
        <v>0.70833333333333337</v>
      </c>
      <c r="T29" s="34">
        <v>0.75833333333333341</v>
      </c>
      <c r="U29" s="505" t="str">
        <f t="shared" si="22"/>
        <v/>
      </c>
      <c r="V29" s="514">
        <f t="shared" si="21"/>
        <v>72.000000000000057</v>
      </c>
      <c r="W29" s="16"/>
      <c r="X29" s="16"/>
      <c r="Y29" s="505"/>
      <c r="Z29" s="505"/>
      <c r="AA29" s="617"/>
      <c r="AB29" s="617"/>
      <c r="AC29" s="35"/>
      <c r="AD29" s="18"/>
      <c r="AE29" s="14">
        <f t="shared" si="8"/>
        <v>-90.833333333334849</v>
      </c>
      <c r="AF29" s="504">
        <f t="shared" si="9"/>
        <v>0.95458333333333256</v>
      </c>
      <c r="AG29" s="615"/>
    </row>
    <row r="30" spans="1:33" ht="15.75" customHeight="1">
      <c r="A30" s="643" t="s">
        <v>2585</v>
      </c>
      <c r="B30" s="29" t="s">
        <v>15</v>
      </c>
      <c r="C30" s="640" t="s">
        <v>82</v>
      </c>
      <c r="D30" s="640"/>
      <c r="E30" s="29">
        <v>51.06</v>
      </c>
      <c r="F30" s="515">
        <v>3620</v>
      </c>
      <c r="G30" s="505">
        <f t="shared" si="19"/>
        <v>184837.2</v>
      </c>
      <c r="H30" s="33" t="s">
        <v>57</v>
      </c>
      <c r="I30" s="513">
        <v>13</v>
      </c>
      <c r="J30" s="31">
        <v>2000</v>
      </c>
      <c r="K30" s="12">
        <f t="shared" si="1"/>
        <v>153.84615384615384</v>
      </c>
      <c r="L30" s="513">
        <v>13</v>
      </c>
      <c r="M30" s="13">
        <f t="shared" si="20"/>
        <v>1905.2631578947382</v>
      </c>
      <c r="N30" s="12">
        <f t="shared" si="3"/>
        <v>146.55870445344141</v>
      </c>
      <c r="O30" s="14">
        <f t="shared" si="4"/>
        <v>0</v>
      </c>
      <c r="P30" s="15">
        <f t="shared" si="5"/>
        <v>-7.287449392712432</v>
      </c>
      <c r="Q30" s="504">
        <f t="shared" si="6"/>
        <v>0.95263157894736916</v>
      </c>
      <c r="R30" s="615"/>
      <c r="S30" s="34">
        <v>0.76319444444444451</v>
      </c>
      <c r="T30" s="34">
        <v>0.84236111111111112</v>
      </c>
      <c r="U30" s="505">
        <f t="shared" si="22"/>
        <v>6.9999999999999751</v>
      </c>
      <c r="V30" s="514">
        <f t="shared" si="21"/>
        <v>113.99999999999991</v>
      </c>
      <c r="W30" s="16"/>
      <c r="X30" s="21"/>
      <c r="Y30" s="21"/>
      <c r="Z30" s="21"/>
      <c r="AA30" s="617"/>
      <c r="AB30" s="617"/>
      <c r="AC30" s="35"/>
      <c r="AD30" s="18"/>
      <c r="AE30" s="14">
        <f t="shared" si="8"/>
        <v>-94.736842105261758</v>
      </c>
      <c r="AF30" s="504">
        <f t="shared" si="9"/>
        <v>0.95263157894736916</v>
      </c>
      <c r="AG30" s="615"/>
    </row>
    <row r="31" spans="1:33" ht="15.75" customHeight="1">
      <c r="A31" s="643" t="s">
        <v>2585</v>
      </c>
      <c r="B31" s="29" t="s">
        <v>2583</v>
      </c>
      <c r="C31" s="618"/>
      <c r="D31" s="618"/>
      <c r="E31" s="507"/>
      <c r="F31" s="515"/>
      <c r="G31" s="505"/>
      <c r="H31" s="515"/>
      <c r="I31" s="23">
        <v>16.666666666666668</v>
      </c>
      <c r="J31" s="31">
        <v>2000</v>
      </c>
      <c r="K31" s="12">
        <f t="shared" si="1"/>
        <v>119.99999999999999</v>
      </c>
      <c r="L31" s="23">
        <v>16.666666666666668</v>
      </c>
      <c r="M31" s="13">
        <f>AVERAGE(M25:M30)</f>
        <v>1907.9280614484398</v>
      </c>
      <c r="N31" s="12">
        <f t="shared" si="3"/>
        <v>114.47568368690638</v>
      </c>
      <c r="O31" s="14">
        <f t="shared" si="4"/>
        <v>0</v>
      </c>
      <c r="P31" s="15">
        <f t="shared" si="5"/>
        <v>-5.5243163130936068</v>
      </c>
      <c r="Q31" s="504">
        <f t="shared" si="6"/>
        <v>0.95396403072421998</v>
      </c>
      <c r="R31" s="615"/>
      <c r="S31" s="34"/>
      <c r="T31" s="34"/>
      <c r="U31" s="12"/>
      <c r="V31" s="514"/>
      <c r="W31" s="12"/>
      <c r="X31" s="12"/>
      <c r="Y31" s="24">
        <f>SUM(Y25:Y30)</f>
        <v>0</v>
      </c>
      <c r="Z31" s="24">
        <f>SUM(Z25:Z30)</f>
        <v>0</v>
      </c>
      <c r="AA31" s="614"/>
      <c r="AB31" s="614"/>
      <c r="AC31" s="24">
        <v>6</v>
      </c>
      <c r="AD31" s="24">
        <f>SUM(AD25:AD30)</f>
        <v>0</v>
      </c>
      <c r="AE31" s="14">
        <f t="shared" si="8"/>
        <v>-92.071938551560152</v>
      </c>
      <c r="AF31" s="504">
        <f t="shared" si="9"/>
        <v>0.95396403072421987</v>
      </c>
      <c r="AG31" s="615"/>
    </row>
    <row r="32" spans="1:33" ht="15.75" customHeight="1">
      <c r="A32" s="641" t="s">
        <v>10</v>
      </c>
      <c r="B32" s="29" t="s">
        <v>32</v>
      </c>
      <c r="C32" s="640" t="s">
        <v>33</v>
      </c>
      <c r="D32" s="640"/>
      <c r="E32" s="29">
        <v>31.29</v>
      </c>
      <c r="F32" s="515">
        <v>6000</v>
      </c>
      <c r="G32" s="505">
        <f t="shared" ref="G32:G39" si="23">E32*F32</f>
        <v>187740</v>
      </c>
      <c r="H32" s="33">
        <v>2</v>
      </c>
      <c r="I32" s="513">
        <v>18</v>
      </c>
      <c r="J32" s="31">
        <v>2400</v>
      </c>
      <c r="K32" s="12">
        <f t="shared" si="1"/>
        <v>133.33333333333334</v>
      </c>
      <c r="L32" s="513">
        <v>18</v>
      </c>
      <c r="M32" s="13">
        <f t="shared" ref="M32:M39" si="24">F32/V32*60</f>
        <v>2292.993630573249</v>
      </c>
      <c r="N32" s="12">
        <f t="shared" si="3"/>
        <v>127.38853503184717</v>
      </c>
      <c r="O32" s="14">
        <f t="shared" si="4"/>
        <v>0</v>
      </c>
      <c r="P32" s="15">
        <f t="shared" si="5"/>
        <v>-5.9447983014861734</v>
      </c>
      <c r="Q32" s="504">
        <f t="shared" si="6"/>
        <v>0.95541401273885374</v>
      </c>
      <c r="R32" s="615">
        <f>Q40</f>
        <v>0.9559025343215295</v>
      </c>
      <c r="S32" s="34">
        <v>8.3333333333333329E-2</v>
      </c>
      <c r="T32" s="34">
        <v>0.19236111111111109</v>
      </c>
      <c r="U32" s="505"/>
      <c r="V32" s="514">
        <f t="shared" ref="V32:V39" si="25">(T32-S32)*24*60</f>
        <v>156.99999999999997</v>
      </c>
      <c r="W32" s="16">
        <f>T32</f>
        <v>0.19236111111111109</v>
      </c>
      <c r="X32" s="16">
        <f>S33</f>
        <v>0.21111111111111111</v>
      </c>
      <c r="Y32" s="16"/>
      <c r="Z32" s="16"/>
      <c r="AA32" s="617"/>
      <c r="AB32" s="617"/>
      <c r="AC32" s="35">
        <v>8</v>
      </c>
      <c r="AD32" s="18"/>
      <c r="AE32" s="14">
        <f t="shared" si="8"/>
        <v>-107.00636942675101</v>
      </c>
      <c r="AF32" s="504">
        <f t="shared" si="9"/>
        <v>0.95541401273885374</v>
      </c>
      <c r="AG32" s="615">
        <f>AF40</f>
        <v>0.95590253432152938</v>
      </c>
    </row>
    <row r="33" spans="1:33" ht="15.75" customHeight="1">
      <c r="A33" s="641" t="s">
        <v>2586</v>
      </c>
      <c r="B33" s="29" t="s">
        <v>32</v>
      </c>
      <c r="C33" s="640" t="s">
        <v>34</v>
      </c>
      <c r="D33" s="640"/>
      <c r="E33" s="29">
        <v>26.37</v>
      </c>
      <c r="F33" s="515">
        <v>4100</v>
      </c>
      <c r="G33" s="505">
        <f t="shared" si="23"/>
        <v>108117</v>
      </c>
      <c r="H33" s="33">
        <v>2</v>
      </c>
      <c r="I33" s="513">
        <v>18</v>
      </c>
      <c r="J33" s="31">
        <v>2400</v>
      </c>
      <c r="K33" s="12">
        <f t="shared" si="1"/>
        <v>133.33333333333334</v>
      </c>
      <c r="L33" s="513">
        <v>18</v>
      </c>
      <c r="M33" s="13">
        <f t="shared" si="24"/>
        <v>2299.065420560748</v>
      </c>
      <c r="N33" s="12">
        <f t="shared" si="3"/>
        <v>127.72585669781932</v>
      </c>
      <c r="O33" s="14">
        <f t="shared" si="4"/>
        <v>0</v>
      </c>
      <c r="P33" s="15">
        <f t="shared" si="5"/>
        <v>-5.6074766355140184</v>
      </c>
      <c r="Q33" s="504">
        <f t="shared" si="6"/>
        <v>0.95794392523364491</v>
      </c>
      <c r="R33" s="615"/>
      <c r="S33" s="34">
        <v>0.21111111111111111</v>
      </c>
      <c r="T33" s="34">
        <v>0.28541666666666665</v>
      </c>
      <c r="U33" s="505">
        <f t="shared" ref="U33:U39" si="26">(S33-T32)*24*60</f>
        <v>27.000000000000025</v>
      </c>
      <c r="V33" s="514">
        <f t="shared" si="25"/>
        <v>106.99999999999999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-100.93457943925205</v>
      </c>
      <c r="AF33" s="504">
        <f t="shared" si="9"/>
        <v>0.95794392523364502</v>
      </c>
      <c r="AG33" s="615"/>
    </row>
    <row r="34" spans="1:33" ht="15.75" customHeight="1">
      <c r="A34" s="641" t="s">
        <v>10</v>
      </c>
      <c r="B34" s="29" t="s">
        <v>32</v>
      </c>
      <c r="C34" s="640" t="s">
        <v>76</v>
      </c>
      <c r="D34" s="640"/>
      <c r="E34" s="29">
        <v>26.18</v>
      </c>
      <c r="F34" s="515">
        <v>4800</v>
      </c>
      <c r="G34" s="505">
        <f t="shared" si="23"/>
        <v>125664</v>
      </c>
      <c r="H34" s="33">
        <v>2</v>
      </c>
      <c r="I34" s="513">
        <v>18</v>
      </c>
      <c r="J34" s="31">
        <v>2400</v>
      </c>
      <c r="K34" s="12">
        <f t="shared" si="1"/>
        <v>133.33333333333334</v>
      </c>
      <c r="L34" s="513">
        <v>18</v>
      </c>
      <c r="M34" s="13">
        <f t="shared" si="24"/>
        <v>2285.7142857142853</v>
      </c>
      <c r="N34" s="12">
        <f t="shared" si="3"/>
        <v>126.98412698412696</v>
      </c>
      <c r="O34" s="14">
        <f t="shared" si="4"/>
        <v>0</v>
      </c>
      <c r="P34" s="15">
        <f t="shared" si="5"/>
        <v>-6.3492063492063835</v>
      </c>
      <c r="Q34" s="504">
        <f t="shared" si="6"/>
        <v>0.95238095238095211</v>
      </c>
      <c r="R34" s="615"/>
      <c r="S34" s="34">
        <v>0.28888888888888886</v>
      </c>
      <c r="T34" s="34">
        <v>0.37638888888888888</v>
      </c>
      <c r="U34" s="505">
        <f t="shared" si="26"/>
        <v>4.9999999999999822</v>
      </c>
      <c r="V34" s="514">
        <f t="shared" si="25"/>
        <v>126.00000000000003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-114.28571428571468</v>
      </c>
      <c r="AF34" s="504">
        <f t="shared" si="9"/>
        <v>0.95238095238095222</v>
      </c>
      <c r="AG34" s="615"/>
    </row>
    <row r="35" spans="1:33" ht="15.75" customHeight="1">
      <c r="A35" s="641" t="s">
        <v>2586</v>
      </c>
      <c r="B35" s="29" t="s">
        <v>32</v>
      </c>
      <c r="C35" s="640" t="s">
        <v>79</v>
      </c>
      <c r="D35" s="640"/>
      <c r="E35" s="29">
        <v>25.99</v>
      </c>
      <c r="F35" s="515">
        <v>2038</v>
      </c>
      <c r="G35" s="505">
        <f t="shared" si="23"/>
        <v>52967.619999999995</v>
      </c>
      <c r="H35" s="33" t="s">
        <v>57</v>
      </c>
      <c r="I35" s="513">
        <v>18</v>
      </c>
      <c r="J35" s="31">
        <v>2400</v>
      </c>
      <c r="K35" s="12">
        <f t="shared" si="1"/>
        <v>133.33333333333334</v>
      </c>
      <c r="L35" s="513">
        <v>18</v>
      </c>
      <c r="M35" s="13">
        <f t="shared" si="24"/>
        <v>2307.1698113207558</v>
      </c>
      <c r="N35" s="12">
        <f t="shared" si="3"/>
        <v>128.17610062893087</v>
      </c>
      <c r="O35" s="14">
        <f t="shared" si="4"/>
        <v>0</v>
      </c>
      <c r="P35" s="15">
        <f t="shared" si="5"/>
        <v>-5.1572327044024746</v>
      </c>
      <c r="Q35" s="504">
        <f t="shared" si="6"/>
        <v>0.96132075471698142</v>
      </c>
      <c r="R35" s="615"/>
      <c r="S35" s="34">
        <v>0.38124999999999998</v>
      </c>
      <c r="T35" s="34">
        <v>0.41805555555555551</v>
      </c>
      <c r="U35" s="505">
        <f t="shared" si="26"/>
        <v>6.9999999999999751</v>
      </c>
      <c r="V35" s="514">
        <f t="shared" si="25"/>
        <v>52.999999999999972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-92.830188679244202</v>
      </c>
      <c r="AF35" s="504">
        <f t="shared" si="9"/>
        <v>0.96132075471698153</v>
      </c>
      <c r="AG35" s="615"/>
    </row>
    <row r="36" spans="1:33" ht="15.75" customHeight="1">
      <c r="A36" s="641" t="s">
        <v>10</v>
      </c>
      <c r="B36" s="29" t="s">
        <v>32</v>
      </c>
      <c r="C36" s="640" t="s">
        <v>35</v>
      </c>
      <c r="D36" s="640"/>
      <c r="E36" s="29">
        <v>25.99</v>
      </c>
      <c r="F36" s="515">
        <v>4613</v>
      </c>
      <c r="G36" s="505">
        <f t="shared" si="23"/>
        <v>119891.87</v>
      </c>
      <c r="H36" s="33" t="s">
        <v>57</v>
      </c>
      <c r="I36" s="513">
        <v>14</v>
      </c>
      <c r="J36" s="31">
        <v>2400</v>
      </c>
      <c r="K36" s="12">
        <f t="shared" si="1"/>
        <v>171.42857142857142</v>
      </c>
      <c r="L36" s="513">
        <v>14</v>
      </c>
      <c r="M36" s="13">
        <f t="shared" si="24"/>
        <v>2287.4380165289244</v>
      </c>
      <c r="N36" s="12">
        <f t="shared" si="3"/>
        <v>163.38842975206603</v>
      </c>
      <c r="O36" s="14">
        <f t="shared" si="4"/>
        <v>0</v>
      </c>
      <c r="P36" s="15">
        <f t="shared" si="5"/>
        <v>-8.0401416765053852</v>
      </c>
      <c r="Q36" s="504">
        <f t="shared" si="6"/>
        <v>0.95309917355371854</v>
      </c>
      <c r="R36" s="615"/>
      <c r="S36" s="34">
        <v>0.42222222222222217</v>
      </c>
      <c r="T36" s="34">
        <v>0.50624999999999998</v>
      </c>
      <c r="U36" s="505">
        <f t="shared" si="26"/>
        <v>5.9999999999999787</v>
      </c>
      <c r="V36" s="514">
        <f t="shared" si="25"/>
        <v>121.00000000000006</v>
      </c>
      <c r="W36" s="16">
        <f>T36</f>
        <v>0.50624999999999998</v>
      </c>
      <c r="X36" s="16">
        <f>S37</f>
        <v>0.54791666666666661</v>
      </c>
      <c r="Y36" s="16"/>
      <c r="Z36" s="16"/>
      <c r="AA36" s="617"/>
      <c r="AB36" s="617"/>
      <c r="AC36" s="35"/>
      <c r="AD36" s="18"/>
      <c r="AE36" s="14">
        <f t="shared" si="8"/>
        <v>-112.56198347107556</v>
      </c>
      <c r="AF36" s="504">
        <f t="shared" si="9"/>
        <v>0.95309917355371854</v>
      </c>
      <c r="AG36" s="615"/>
    </row>
    <row r="37" spans="1:33" ht="15.75" customHeight="1">
      <c r="A37" s="641" t="s">
        <v>2586</v>
      </c>
      <c r="B37" s="29" t="s">
        <v>32</v>
      </c>
      <c r="C37" s="640" t="s">
        <v>76</v>
      </c>
      <c r="D37" s="640"/>
      <c r="E37" s="29">
        <v>26.18</v>
      </c>
      <c r="F37" s="515">
        <v>4061</v>
      </c>
      <c r="G37" s="505">
        <f t="shared" si="23"/>
        <v>106316.98</v>
      </c>
      <c r="H37" s="33" t="s">
        <v>57</v>
      </c>
      <c r="I37" s="513">
        <v>18</v>
      </c>
      <c r="J37" s="31">
        <v>2400</v>
      </c>
      <c r="K37" s="12">
        <f t="shared" si="1"/>
        <v>133.33333333333334</v>
      </c>
      <c r="L37" s="513">
        <v>18</v>
      </c>
      <c r="M37" s="13">
        <f t="shared" si="24"/>
        <v>2298.67924528302</v>
      </c>
      <c r="N37" s="12">
        <f t="shared" si="3"/>
        <v>127.70440251572333</v>
      </c>
      <c r="O37" s="14">
        <f t="shared" si="4"/>
        <v>0</v>
      </c>
      <c r="P37" s="15">
        <f t="shared" si="5"/>
        <v>-5.6289308176100121</v>
      </c>
      <c r="Q37" s="504">
        <f t="shared" si="6"/>
        <v>0.95778301886792494</v>
      </c>
      <c r="R37" s="615"/>
      <c r="S37" s="34">
        <v>0.54791666666666661</v>
      </c>
      <c r="T37" s="34">
        <v>0.62152777777777768</v>
      </c>
      <c r="U37" s="505">
        <f t="shared" si="26"/>
        <v>59.999999999999943</v>
      </c>
      <c r="V37" s="514">
        <f t="shared" si="25"/>
        <v>105.99999999999994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-101.32075471697999</v>
      </c>
      <c r="AF37" s="504">
        <f t="shared" si="9"/>
        <v>0.95778301886792505</v>
      </c>
      <c r="AG37" s="615"/>
    </row>
    <row r="38" spans="1:33" ht="15.75" customHeight="1">
      <c r="A38" s="641" t="s">
        <v>2586</v>
      </c>
      <c r="B38" s="29" t="s">
        <v>32</v>
      </c>
      <c r="C38" s="640" t="s">
        <v>34</v>
      </c>
      <c r="D38" s="640"/>
      <c r="E38" s="29">
        <v>26.37</v>
      </c>
      <c r="F38" s="515">
        <v>2934</v>
      </c>
      <c r="G38" s="505">
        <f t="shared" si="23"/>
        <v>77369.58</v>
      </c>
      <c r="H38" s="33" t="s">
        <v>57</v>
      </c>
      <c r="I38" s="513">
        <v>18</v>
      </c>
      <c r="J38" s="31">
        <v>2400</v>
      </c>
      <c r="K38" s="12">
        <f t="shared" si="1"/>
        <v>133.33333333333334</v>
      </c>
      <c r="L38" s="513">
        <v>18</v>
      </c>
      <c r="M38" s="13">
        <f t="shared" si="24"/>
        <v>2286.233766233765</v>
      </c>
      <c r="N38" s="12">
        <f t="shared" si="3"/>
        <v>127.01298701298694</v>
      </c>
      <c r="O38" s="14">
        <f t="shared" si="4"/>
        <v>0</v>
      </c>
      <c r="P38" s="15">
        <f t="shared" si="5"/>
        <v>-6.3203463203464025</v>
      </c>
      <c r="Q38" s="504">
        <f t="shared" si="6"/>
        <v>0.952597402597402</v>
      </c>
      <c r="R38" s="615"/>
      <c r="S38" s="34">
        <v>0.62569444444444433</v>
      </c>
      <c r="T38" s="34">
        <v>0.67916666666666659</v>
      </c>
      <c r="U38" s="505">
        <f t="shared" si="26"/>
        <v>5.9999999999999787</v>
      </c>
      <c r="V38" s="514">
        <f t="shared" si="25"/>
        <v>77.000000000000043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-113.76623376623502</v>
      </c>
      <c r="AF38" s="504">
        <f t="shared" si="9"/>
        <v>0.95259740259740211</v>
      </c>
      <c r="AG38" s="615"/>
    </row>
    <row r="39" spans="1:33" ht="15.75" customHeight="1">
      <c r="A39" s="641" t="s">
        <v>2586</v>
      </c>
      <c r="B39" s="29" t="s">
        <v>32</v>
      </c>
      <c r="C39" s="517" t="s">
        <v>33</v>
      </c>
      <c r="D39" s="518"/>
      <c r="E39" s="29">
        <v>31.29</v>
      </c>
      <c r="F39" s="515">
        <v>4439</v>
      </c>
      <c r="G39" s="505">
        <f t="shared" si="23"/>
        <v>138896.31</v>
      </c>
      <c r="H39" s="33" t="s">
        <v>57</v>
      </c>
      <c r="I39" s="513">
        <v>18</v>
      </c>
      <c r="J39" s="31">
        <v>2400</v>
      </c>
      <c r="K39" s="12">
        <f t="shared" si="1"/>
        <v>133.33333333333334</v>
      </c>
      <c r="L39" s="513">
        <v>18</v>
      </c>
      <c r="M39" s="13">
        <f t="shared" si="24"/>
        <v>2296.0344827586191</v>
      </c>
      <c r="N39" s="12">
        <f t="shared" si="3"/>
        <v>127.55747126436773</v>
      </c>
      <c r="O39" s="14">
        <f t="shared" si="4"/>
        <v>0</v>
      </c>
      <c r="P39" s="15">
        <f t="shared" si="5"/>
        <v>-5.7758620689656084</v>
      </c>
      <c r="Q39" s="504">
        <f t="shared" si="6"/>
        <v>0.95668103448275799</v>
      </c>
      <c r="R39" s="615"/>
      <c r="S39" s="34">
        <v>0.68333333333333324</v>
      </c>
      <c r="T39" s="34">
        <v>0.76388888888888884</v>
      </c>
      <c r="U39" s="505">
        <f t="shared" si="26"/>
        <v>5.9999999999999787</v>
      </c>
      <c r="V39" s="514">
        <f t="shared" si="25"/>
        <v>116.00000000000007</v>
      </c>
      <c r="W39" s="16"/>
      <c r="X39" s="16"/>
      <c r="Y39" s="16"/>
      <c r="Z39" s="16"/>
      <c r="AA39" s="511"/>
      <c r="AB39" s="512"/>
      <c r="AC39" s="35"/>
      <c r="AD39" s="18"/>
      <c r="AE39" s="14">
        <f t="shared" si="8"/>
        <v>-103.96551724138089</v>
      </c>
      <c r="AF39" s="504">
        <f t="shared" si="9"/>
        <v>0.95668103448275799</v>
      </c>
      <c r="AG39" s="615"/>
    </row>
    <row r="40" spans="1:33" ht="15.75" customHeight="1">
      <c r="A40" s="641" t="s">
        <v>10</v>
      </c>
      <c r="B40" s="29" t="s">
        <v>2583</v>
      </c>
      <c r="C40" s="618"/>
      <c r="D40" s="618"/>
      <c r="E40" s="507"/>
      <c r="F40" s="515"/>
      <c r="G40" s="505"/>
      <c r="H40" s="515"/>
      <c r="I40" s="23">
        <v>17.5</v>
      </c>
      <c r="J40" s="31">
        <v>2400</v>
      </c>
      <c r="K40" s="12">
        <f t="shared" si="1"/>
        <v>137.14285714285714</v>
      </c>
      <c r="L40" s="23">
        <v>17.5</v>
      </c>
      <c r="M40" s="13">
        <f>AVERAGE(M32:M39)</f>
        <v>2294.1660823716707</v>
      </c>
      <c r="N40" s="12">
        <f t="shared" si="3"/>
        <v>131.09520470695261</v>
      </c>
      <c r="O40" s="14">
        <f t="shared" si="4"/>
        <v>0</v>
      </c>
      <c r="P40" s="15">
        <f t="shared" si="5"/>
        <v>-6.0476524359045243</v>
      </c>
      <c r="Q40" s="504">
        <f t="shared" si="6"/>
        <v>0.9559025343215295</v>
      </c>
      <c r="R40" s="615"/>
      <c r="S40" s="34"/>
      <c r="T40" s="34"/>
      <c r="U40" s="505"/>
      <c r="V40" s="514"/>
      <c r="W40" s="505"/>
      <c r="X40" s="505"/>
      <c r="Y40" s="24">
        <f>SUM(Y32:Y39)</f>
        <v>0</v>
      </c>
      <c r="Z40" s="24">
        <f>SUM(Z32:Z39)</f>
        <v>0</v>
      </c>
      <c r="AA40" s="614"/>
      <c r="AB40" s="614"/>
      <c r="AC40" s="24">
        <v>8</v>
      </c>
      <c r="AD40" s="24">
        <f>SUM(AD32:AD39)</f>
        <v>0</v>
      </c>
      <c r="AE40" s="14">
        <f t="shared" si="8"/>
        <v>-105.83391762832935</v>
      </c>
      <c r="AF40" s="504">
        <f t="shared" si="9"/>
        <v>0.95590253432152938</v>
      </c>
      <c r="AG40" s="615"/>
    </row>
    <row r="41" spans="1:33" ht="15.75" customHeight="1">
      <c r="A41" s="638" t="s">
        <v>2587</v>
      </c>
      <c r="B41" s="29" t="s">
        <v>32</v>
      </c>
      <c r="C41" s="616" t="s">
        <v>77</v>
      </c>
      <c r="D41" s="616"/>
      <c r="E41" s="29">
        <v>26.18</v>
      </c>
      <c r="F41" s="515">
        <v>3800</v>
      </c>
      <c r="G41" s="505">
        <f t="shared" ref="G41:G48" si="27">E41*F41</f>
        <v>99484</v>
      </c>
      <c r="H41" s="33">
        <v>2</v>
      </c>
      <c r="I41" s="513">
        <v>20</v>
      </c>
      <c r="J41" s="31">
        <v>2400</v>
      </c>
      <c r="K41" s="12">
        <f t="shared" si="1"/>
        <v>120</v>
      </c>
      <c r="L41" s="513">
        <v>20</v>
      </c>
      <c r="M41" s="13">
        <f t="shared" ref="M41:M48" si="28">F41/V41*60</f>
        <v>2279.9999999999995</v>
      </c>
      <c r="N41" s="12">
        <f t="shared" si="3"/>
        <v>113.99999999999997</v>
      </c>
      <c r="O41" s="14">
        <f t="shared" si="4"/>
        <v>0</v>
      </c>
      <c r="P41" s="15">
        <f t="shared" si="5"/>
        <v>-6.0000000000000284</v>
      </c>
      <c r="Q41" s="504">
        <f t="shared" si="6"/>
        <v>0.94999999999999973</v>
      </c>
      <c r="R41" s="615">
        <f>Q49</f>
        <v>0.95621223498231611</v>
      </c>
      <c r="S41" s="34">
        <v>8.3333333333333329E-2</v>
      </c>
      <c r="T41" s="34">
        <v>0.15277777777777779</v>
      </c>
      <c r="U41" s="505"/>
      <c r="V41" s="514">
        <f t="shared" ref="V41:V48" si="29">(T41-S41)*24*60</f>
        <v>100.00000000000001</v>
      </c>
      <c r="W41" s="21">
        <f>T41</f>
        <v>0.15277777777777779</v>
      </c>
      <c r="X41" s="21">
        <f>S42</f>
        <v>0.17083333333333334</v>
      </c>
      <c r="Y41" s="21"/>
      <c r="Z41" s="21"/>
      <c r="AA41" s="617"/>
      <c r="AB41" s="617"/>
      <c r="AC41" s="35">
        <v>8</v>
      </c>
      <c r="AD41" s="18"/>
      <c r="AE41" s="14">
        <f t="shared" si="8"/>
        <v>-120.00000000000045</v>
      </c>
      <c r="AF41" s="504">
        <f t="shared" si="9"/>
        <v>0.94999999999999984</v>
      </c>
      <c r="AG41" s="615">
        <f>AF49</f>
        <v>0.95621223498231611</v>
      </c>
    </row>
    <row r="42" spans="1:33" ht="15.75" customHeight="1">
      <c r="A42" s="638" t="s">
        <v>2587</v>
      </c>
      <c r="B42" s="29" t="s">
        <v>32</v>
      </c>
      <c r="C42" s="616" t="s">
        <v>37</v>
      </c>
      <c r="D42" s="616"/>
      <c r="E42" s="29">
        <v>24.43</v>
      </c>
      <c r="F42" s="515">
        <v>4200</v>
      </c>
      <c r="G42" s="505">
        <f t="shared" si="27"/>
        <v>102606</v>
      </c>
      <c r="H42" s="33">
        <v>2</v>
      </c>
      <c r="I42" s="513">
        <v>14</v>
      </c>
      <c r="J42" s="31">
        <v>2400</v>
      </c>
      <c r="K42" s="12">
        <f t="shared" si="1"/>
        <v>171.42857142857142</v>
      </c>
      <c r="L42" s="513">
        <v>14</v>
      </c>
      <c r="M42" s="13">
        <f t="shared" si="28"/>
        <v>2290.909090909091</v>
      </c>
      <c r="N42" s="12">
        <f t="shared" si="3"/>
        <v>163.63636363636365</v>
      </c>
      <c r="O42" s="14">
        <f t="shared" si="4"/>
        <v>0</v>
      </c>
      <c r="P42" s="15">
        <f t="shared" si="5"/>
        <v>-7.7922077922077619</v>
      </c>
      <c r="Q42" s="504">
        <f t="shared" si="6"/>
        <v>0.9545454545454547</v>
      </c>
      <c r="R42" s="615"/>
      <c r="S42" s="34">
        <v>0.17083333333333334</v>
      </c>
      <c r="T42" s="34">
        <v>0.24722222222222223</v>
      </c>
      <c r="U42" s="505">
        <f t="shared" ref="U42:U48" si="30">(S42-T41)*24*60</f>
        <v>25.999999999999986</v>
      </c>
      <c r="V42" s="514">
        <f t="shared" si="29"/>
        <v>110.00000000000001</v>
      </c>
      <c r="W42" s="505"/>
      <c r="X42" s="505"/>
      <c r="Y42" s="505"/>
      <c r="Z42" s="505"/>
      <c r="AA42" s="617"/>
      <c r="AB42" s="617"/>
      <c r="AC42" s="35"/>
      <c r="AD42" s="18"/>
      <c r="AE42" s="14">
        <f t="shared" si="8"/>
        <v>-109.09090909090901</v>
      </c>
      <c r="AF42" s="504">
        <f t="shared" si="9"/>
        <v>0.95454545454545459</v>
      </c>
      <c r="AG42" s="615"/>
    </row>
    <row r="43" spans="1:33">
      <c r="A43" s="639" t="s">
        <v>2587</v>
      </c>
      <c r="B43" s="29" t="s">
        <v>32</v>
      </c>
      <c r="C43" s="616" t="s">
        <v>2090</v>
      </c>
      <c r="D43" s="616"/>
      <c r="E43" s="29">
        <v>25.98</v>
      </c>
      <c r="F43" s="515">
        <v>4100</v>
      </c>
      <c r="G43" s="505">
        <f t="shared" si="27"/>
        <v>106518</v>
      </c>
      <c r="H43" s="33">
        <v>2</v>
      </c>
      <c r="I43" s="513">
        <v>20</v>
      </c>
      <c r="J43" s="31">
        <v>2400</v>
      </c>
      <c r="K43" s="12">
        <f t="shared" si="1"/>
        <v>120</v>
      </c>
      <c r="L43" s="513">
        <v>20</v>
      </c>
      <c r="M43" s="13">
        <f t="shared" si="28"/>
        <v>2299.0654205607475</v>
      </c>
      <c r="N43" s="12">
        <f t="shared" si="3"/>
        <v>114.95327102803738</v>
      </c>
      <c r="O43" s="14">
        <f t="shared" si="4"/>
        <v>0</v>
      </c>
      <c r="P43" s="15">
        <f t="shared" si="5"/>
        <v>-5.0467289719626223</v>
      </c>
      <c r="Q43" s="504">
        <f t="shared" si="6"/>
        <v>0.9579439252336448</v>
      </c>
      <c r="R43" s="615"/>
      <c r="S43" s="34">
        <v>0.25138888888888888</v>
      </c>
      <c r="T43" s="34">
        <v>0.32569444444444445</v>
      </c>
      <c r="U43" s="505">
        <f t="shared" si="30"/>
        <v>5.9999999999999787</v>
      </c>
      <c r="V43" s="514">
        <f t="shared" si="29"/>
        <v>107.00000000000001</v>
      </c>
      <c r="W43" s="505"/>
      <c r="X43" s="505"/>
      <c r="Y43" s="505"/>
      <c r="Z43" s="505"/>
      <c r="AA43" s="617"/>
      <c r="AB43" s="617"/>
      <c r="AC43" s="35"/>
      <c r="AD43" s="18"/>
      <c r="AE43" s="14">
        <f t="shared" si="8"/>
        <v>-100.9345794392525</v>
      </c>
      <c r="AF43" s="504">
        <f t="shared" si="9"/>
        <v>0.9579439252336448</v>
      </c>
      <c r="AG43" s="615"/>
    </row>
    <row r="44" spans="1:33">
      <c r="A44" s="639" t="s">
        <v>2587</v>
      </c>
      <c r="B44" s="29" t="s">
        <v>32</v>
      </c>
      <c r="C44" s="616" t="s">
        <v>39</v>
      </c>
      <c r="D44" s="616"/>
      <c r="E44" s="29">
        <v>34.1</v>
      </c>
      <c r="F44" s="515">
        <v>4000</v>
      </c>
      <c r="G44" s="505">
        <f t="shared" si="27"/>
        <v>136400</v>
      </c>
      <c r="H44" s="33">
        <v>2</v>
      </c>
      <c r="I44" s="513">
        <v>17</v>
      </c>
      <c r="J44" s="31">
        <v>1600</v>
      </c>
      <c r="K44" s="12">
        <f t="shared" si="1"/>
        <v>94.117647058823536</v>
      </c>
      <c r="L44" s="513">
        <v>17</v>
      </c>
      <c r="M44" s="13">
        <f t="shared" si="28"/>
        <v>1528.6624203821657</v>
      </c>
      <c r="N44" s="12">
        <f t="shared" si="3"/>
        <v>89.92131884600974</v>
      </c>
      <c r="O44" s="14">
        <f t="shared" si="4"/>
        <v>0</v>
      </c>
      <c r="P44" s="15">
        <f t="shared" si="5"/>
        <v>-4.1963282128137962</v>
      </c>
      <c r="Q44" s="504">
        <f t="shared" si="6"/>
        <v>0.9554140127388534</v>
      </c>
      <c r="R44" s="615"/>
      <c r="S44" s="34">
        <v>0.33055555555555555</v>
      </c>
      <c r="T44" s="34">
        <v>0.43958333333333333</v>
      </c>
      <c r="U44" s="505">
        <f t="shared" si="30"/>
        <v>6.9999999999999751</v>
      </c>
      <c r="V44" s="514">
        <f t="shared" si="29"/>
        <v>157</v>
      </c>
      <c r="W44" s="16"/>
      <c r="X44" s="16"/>
      <c r="Y44" s="16"/>
      <c r="Z44" s="16"/>
      <c r="AA44" s="617"/>
      <c r="AB44" s="617"/>
      <c r="AC44" s="35"/>
      <c r="AD44" s="18"/>
      <c r="AE44" s="14">
        <f t="shared" si="8"/>
        <v>-71.337579617834308</v>
      </c>
      <c r="AF44" s="504">
        <f t="shared" si="9"/>
        <v>0.95541401273885351</v>
      </c>
      <c r="AG44" s="615"/>
    </row>
    <row r="45" spans="1:33">
      <c r="A45" s="639" t="s">
        <v>2587</v>
      </c>
      <c r="B45" s="29" t="s">
        <v>32</v>
      </c>
      <c r="C45" s="616" t="s">
        <v>84</v>
      </c>
      <c r="D45" s="616"/>
      <c r="E45" s="29">
        <v>20.21</v>
      </c>
      <c r="F45" s="515">
        <v>3754</v>
      </c>
      <c r="G45" s="505">
        <f t="shared" si="27"/>
        <v>75868.34</v>
      </c>
      <c r="H45" s="33" t="s">
        <v>57</v>
      </c>
      <c r="I45" s="513">
        <v>18</v>
      </c>
      <c r="J45" s="31">
        <v>2400</v>
      </c>
      <c r="K45" s="12">
        <f t="shared" si="1"/>
        <v>133.33333333333334</v>
      </c>
      <c r="L45" s="513">
        <v>18</v>
      </c>
      <c r="M45" s="13">
        <f t="shared" si="28"/>
        <v>2298.3673469387759</v>
      </c>
      <c r="N45" s="12">
        <f t="shared" si="3"/>
        <v>127.68707482993199</v>
      </c>
      <c r="O45" s="14">
        <f t="shared" si="4"/>
        <v>0</v>
      </c>
      <c r="P45" s="15">
        <f t="shared" si="5"/>
        <v>-5.6462585034013557</v>
      </c>
      <c r="Q45" s="504">
        <f t="shared" si="6"/>
        <v>0.95765306122448979</v>
      </c>
      <c r="R45" s="615"/>
      <c r="S45" s="34">
        <v>0.44513888888888886</v>
      </c>
      <c r="T45" s="34">
        <v>0.5131944444444444</v>
      </c>
      <c r="U45" s="505">
        <f t="shared" si="30"/>
        <v>7.9999999999999716</v>
      </c>
      <c r="V45" s="514">
        <f t="shared" si="29"/>
        <v>97.999999999999972</v>
      </c>
      <c r="W45" s="16">
        <f>T45</f>
        <v>0.5131944444444444</v>
      </c>
      <c r="X45" s="16">
        <f>S46</f>
        <v>0.5527777777777777</v>
      </c>
      <c r="Y45" s="16"/>
      <c r="Z45" s="16"/>
      <c r="AA45" s="617"/>
      <c r="AB45" s="617"/>
      <c r="AC45" s="35"/>
      <c r="AD45" s="18"/>
      <c r="AE45" s="14">
        <f t="shared" si="8"/>
        <v>-101.63265306122412</v>
      </c>
      <c r="AF45" s="504">
        <f t="shared" si="9"/>
        <v>0.9576530612244899</v>
      </c>
      <c r="AG45" s="615"/>
    </row>
    <row r="46" spans="1:33">
      <c r="A46" s="639" t="s">
        <v>2587</v>
      </c>
      <c r="B46" s="29" t="s">
        <v>32</v>
      </c>
      <c r="C46" s="616" t="s">
        <v>39</v>
      </c>
      <c r="D46" s="616"/>
      <c r="E46" s="29">
        <v>34.1</v>
      </c>
      <c r="F46" s="515">
        <v>3227</v>
      </c>
      <c r="G46" s="505">
        <f t="shared" si="27"/>
        <v>110040.70000000001</v>
      </c>
      <c r="H46" s="33" t="s">
        <v>57</v>
      </c>
      <c r="I46" s="513">
        <v>17</v>
      </c>
      <c r="J46" s="31">
        <v>1600</v>
      </c>
      <c r="K46" s="12">
        <f t="shared" si="1"/>
        <v>94.117647058823536</v>
      </c>
      <c r="L46" s="513">
        <v>17</v>
      </c>
      <c r="M46" s="13">
        <f t="shared" si="28"/>
        <v>1524.5669291338579</v>
      </c>
      <c r="N46" s="12">
        <f t="shared" si="3"/>
        <v>89.680407596109291</v>
      </c>
      <c r="O46" s="14">
        <f t="shared" si="4"/>
        <v>0</v>
      </c>
      <c r="P46" s="15">
        <f t="shared" si="5"/>
        <v>-4.4372394627142455</v>
      </c>
      <c r="Q46" s="504">
        <f t="shared" si="6"/>
        <v>0.9528543307086611</v>
      </c>
      <c r="R46" s="615"/>
      <c r="S46" s="34">
        <v>0.5527777777777777</v>
      </c>
      <c r="T46" s="34">
        <v>0.64097222222222217</v>
      </c>
      <c r="U46" s="505">
        <f t="shared" si="30"/>
        <v>56.999999999999957</v>
      </c>
      <c r="V46" s="514">
        <f t="shared" si="29"/>
        <v>127.00000000000003</v>
      </c>
      <c r="W46" s="16"/>
      <c r="X46" s="16"/>
      <c r="Y46" s="16"/>
      <c r="Z46" s="16"/>
      <c r="AA46" s="617"/>
      <c r="AB46" s="617"/>
      <c r="AC46" s="35"/>
      <c r="AD46" s="18"/>
      <c r="AE46" s="14">
        <f t="shared" si="8"/>
        <v>-75.433070866142089</v>
      </c>
      <c r="AF46" s="504">
        <f t="shared" si="9"/>
        <v>0.95285433070866121</v>
      </c>
      <c r="AG46" s="615"/>
    </row>
    <row r="47" spans="1:33">
      <c r="A47" s="639" t="s">
        <v>11</v>
      </c>
      <c r="B47" s="29" t="s">
        <v>32</v>
      </c>
      <c r="C47" s="616" t="s">
        <v>2090</v>
      </c>
      <c r="D47" s="616"/>
      <c r="E47" s="29">
        <v>25.98</v>
      </c>
      <c r="F47" s="515">
        <v>2844</v>
      </c>
      <c r="G47" s="505">
        <f t="shared" si="27"/>
        <v>73887.12</v>
      </c>
      <c r="H47" s="33" t="s">
        <v>57</v>
      </c>
      <c r="I47" s="513">
        <v>20</v>
      </c>
      <c r="J47" s="31">
        <v>2400</v>
      </c>
      <c r="K47" s="12">
        <f t="shared" si="1"/>
        <v>120</v>
      </c>
      <c r="L47" s="513">
        <v>20</v>
      </c>
      <c r="M47" s="13">
        <f t="shared" si="28"/>
        <v>2305.945945945944</v>
      </c>
      <c r="N47" s="12">
        <f t="shared" si="3"/>
        <v>115.29729729729721</v>
      </c>
      <c r="O47" s="14">
        <f t="shared" si="4"/>
        <v>0</v>
      </c>
      <c r="P47" s="15">
        <f t="shared" si="5"/>
        <v>-4.7027027027027941</v>
      </c>
      <c r="Q47" s="504">
        <f t="shared" si="6"/>
        <v>0.9608108108108101</v>
      </c>
      <c r="R47" s="615"/>
      <c r="S47" s="34">
        <v>0.64444444444444438</v>
      </c>
      <c r="T47" s="34">
        <v>0.6958333333333333</v>
      </c>
      <c r="U47" s="505">
        <f t="shared" si="30"/>
        <v>4.9999999999999822</v>
      </c>
      <c r="V47" s="514">
        <f t="shared" si="29"/>
        <v>74.000000000000057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-94.054054054055996</v>
      </c>
      <c r="AF47" s="504">
        <f t="shared" si="9"/>
        <v>0.96081081081080999</v>
      </c>
      <c r="AG47" s="615"/>
    </row>
    <row r="48" spans="1:33">
      <c r="A48" s="639" t="s">
        <v>2587</v>
      </c>
      <c r="B48" s="29" t="s">
        <v>32</v>
      </c>
      <c r="C48" s="616" t="s">
        <v>77</v>
      </c>
      <c r="D48" s="616"/>
      <c r="E48" s="29">
        <v>26.18</v>
      </c>
      <c r="F48" s="515">
        <v>2954</v>
      </c>
      <c r="G48" s="505">
        <f t="shared" si="27"/>
        <v>77335.72</v>
      </c>
      <c r="H48" s="33" t="s">
        <v>57</v>
      </c>
      <c r="I48" s="513">
        <v>20</v>
      </c>
      <c r="J48" s="31">
        <v>2400</v>
      </c>
      <c r="K48" s="12">
        <f t="shared" si="1"/>
        <v>120</v>
      </c>
      <c r="L48" s="513">
        <v>20</v>
      </c>
      <c r="M48" s="13">
        <f t="shared" si="28"/>
        <v>2301.8181818181806</v>
      </c>
      <c r="N48" s="12">
        <f t="shared" si="3"/>
        <v>115.09090909090904</v>
      </c>
      <c r="O48" s="14">
        <f t="shared" si="4"/>
        <v>0</v>
      </c>
      <c r="P48" s="15">
        <f t="shared" si="5"/>
        <v>-4.9090909090909634</v>
      </c>
      <c r="Q48" s="504">
        <f t="shared" si="6"/>
        <v>0.95909090909090866</v>
      </c>
      <c r="R48" s="615"/>
      <c r="S48" s="34">
        <v>0.70138888888888884</v>
      </c>
      <c r="T48" s="34">
        <v>0.75486111111111109</v>
      </c>
      <c r="U48" s="505">
        <f t="shared" si="30"/>
        <v>7.9999999999999716</v>
      </c>
      <c r="V48" s="514">
        <f t="shared" si="29"/>
        <v>77.000000000000043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-98.181818181819381</v>
      </c>
      <c r="AF48" s="504">
        <f t="shared" si="9"/>
        <v>0.95909090909090855</v>
      </c>
      <c r="AG48" s="615"/>
    </row>
    <row r="49" spans="1:33">
      <c r="A49" s="639" t="s">
        <v>2587</v>
      </c>
      <c r="B49" s="30" t="s">
        <v>2583</v>
      </c>
      <c r="C49" s="618"/>
      <c r="D49" s="618"/>
      <c r="E49" s="507"/>
      <c r="F49" s="30"/>
      <c r="G49" s="12"/>
      <c r="H49" s="515"/>
      <c r="I49" s="23">
        <v>18.25</v>
      </c>
      <c r="J49" s="31">
        <v>2200</v>
      </c>
      <c r="K49" s="12">
        <f t="shared" si="1"/>
        <v>120.54794520547945</v>
      </c>
      <c r="L49" s="23">
        <v>18.25</v>
      </c>
      <c r="M49" s="13">
        <f>AVERAGE(M41:M48)</f>
        <v>2103.6669169610955</v>
      </c>
      <c r="N49" s="12">
        <f t="shared" si="3"/>
        <v>115.26942010745728</v>
      </c>
      <c r="O49" s="14">
        <f t="shared" si="4"/>
        <v>0</v>
      </c>
      <c r="P49" s="15">
        <f t="shared" si="5"/>
        <v>-5.2785250980221718</v>
      </c>
      <c r="Q49" s="504">
        <f t="shared" si="6"/>
        <v>0.95621223498231611</v>
      </c>
      <c r="R49" s="615"/>
      <c r="S49" s="34"/>
      <c r="T49" s="34"/>
      <c r="U49" s="12"/>
      <c r="V49" s="514"/>
      <c r="W49" s="12"/>
      <c r="X49" s="12"/>
      <c r="Y49" s="24">
        <f>SUM(Y41:Y48)</f>
        <v>0</v>
      </c>
      <c r="Z49" s="24">
        <f>SUM(Z41:Z48)</f>
        <v>0</v>
      </c>
      <c r="AA49" s="614"/>
      <c r="AB49" s="614"/>
      <c r="AC49" s="24">
        <v>8</v>
      </c>
      <c r="AD49" s="24">
        <f>SUM(AD41:AD48)</f>
        <v>0</v>
      </c>
      <c r="AE49" s="14">
        <f t="shared" si="8"/>
        <v>-96.333083038904533</v>
      </c>
      <c r="AF49" s="504">
        <f t="shared" si="9"/>
        <v>0.95621223498231611</v>
      </c>
      <c r="AG49" s="615"/>
    </row>
    <row r="50" spans="1:33" ht="15.75" customHeight="1">
      <c r="A50" s="632" t="s">
        <v>2588</v>
      </c>
      <c r="B50" s="29" t="s">
        <v>40</v>
      </c>
      <c r="C50" s="622" t="s">
        <v>49</v>
      </c>
      <c r="D50" s="623"/>
      <c r="E50" s="29">
        <v>34.36</v>
      </c>
      <c r="F50" s="515">
        <v>2594</v>
      </c>
      <c r="G50" s="505">
        <f t="shared" ref="G50:G52" si="31">E50*F50</f>
        <v>89129.84</v>
      </c>
      <c r="H50" s="33" t="s">
        <v>57</v>
      </c>
      <c r="I50" s="513">
        <v>10</v>
      </c>
      <c r="J50" s="31">
        <v>3000</v>
      </c>
      <c r="K50" s="12">
        <f t="shared" si="1"/>
        <v>300</v>
      </c>
      <c r="L50" s="513">
        <v>10</v>
      </c>
      <c r="M50" s="13">
        <f t="shared" ref="M50:M52" si="32">F50/V50*60</f>
        <v>2882.2222222222217</v>
      </c>
      <c r="N50" s="13">
        <f t="shared" si="3"/>
        <v>288.22222222222217</v>
      </c>
      <c r="O50" s="14">
        <f t="shared" si="4"/>
        <v>0</v>
      </c>
      <c r="P50" s="15">
        <f t="shared" si="5"/>
        <v>-11.777777777777828</v>
      </c>
      <c r="Q50" s="504">
        <f t="shared" si="6"/>
        <v>0.96074074074074056</v>
      </c>
      <c r="R50" s="635">
        <f>Q53</f>
        <v>0.95613768947102284</v>
      </c>
      <c r="S50" s="34">
        <v>0.20833333333333334</v>
      </c>
      <c r="T50" s="34">
        <v>0.24583333333333335</v>
      </c>
      <c r="U50" s="21"/>
      <c r="V50" s="514">
        <f t="shared" ref="V50:V52" si="33">(T50-S50)*24*60</f>
        <v>54.000000000000007</v>
      </c>
      <c r="W50" s="16"/>
      <c r="X50" s="16"/>
      <c r="Y50" s="19"/>
      <c r="Z50" s="19"/>
      <c r="AA50" s="624"/>
      <c r="AB50" s="625"/>
      <c r="AC50" s="35">
        <v>3</v>
      </c>
      <c r="AD50" s="18"/>
      <c r="AE50" s="14">
        <f t="shared" si="8"/>
        <v>-117.77777777777828</v>
      </c>
      <c r="AF50" s="504">
        <f t="shared" si="9"/>
        <v>0.96074074074074056</v>
      </c>
      <c r="AG50" s="635">
        <f>AF53</f>
        <v>0.95613768947102273</v>
      </c>
    </row>
    <row r="51" spans="1:33" ht="15.75" customHeight="1">
      <c r="A51" s="633" t="s">
        <v>12</v>
      </c>
      <c r="B51" s="29" t="s">
        <v>40</v>
      </c>
      <c r="C51" s="622" t="s">
        <v>43</v>
      </c>
      <c r="D51" s="623"/>
      <c r="E51" s="29">
        <v>21.13</v>
      </c>
      <c r="F51" s="515">
        <v>6288</v>
      </c>
      <c r="G51" s="505">
        <f t="shared" si="31"/>
        <v>132865.44</v>
      </c>
      <c r="H51" s="33" t="s">
        <v>57</v>
      </c>
      <c r="I51" s="513">
        <v>10</v>
      </c>
      <c r="J51" s="31">
        <v>3000</v>
      </c>
      <c r="K51" s="12">
        <f t="shared" si="1"/>
        <v>300</v>
      </c>
      <c r="L51" s="513">
        <v>10</v>
      </c>
      <c r="M51" s="13">
        <f t="shared" si="32"/>
        <v>2858.181818181818</v>
      </c>
      <c r="N51" s="13">
        <f t="shared" si="3"/>
        <v>285.81818181818181</v>
      </c>
      <c r="O51" s="14">
        <f t="shared" si="4"/>
        <v>0</v>
      </c>
      <c r="P51" s="15">
        <f t="shared" si="5"/>
        <v>-14.181818181818187</v>
      </c>
      <c r="Q51" s="504">
        <f t="shared" si="6"/>
        <v>0.95272727272727276</v>
      </c>
      <c r="R51" s="636"/>
      <c r="S51" s="34">
        <v>0.24930555555555556</v>
      </c>
      <c r="T51" s="34">
        <v>0.34097222222222223</v>
      </c>
      <c r="U51" s="505">
        <f t="shared" ref="U51:U52" si="34">(S51-T50)*24*60</f>
        <v>4.9999999999999822</v>
      </c>
      <c r="V51" s="514">
        <f t="shared" si="33"/>
        <v>132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-141.81818181818198</v>
      </c>
      <c r="AF51" s="504">
        <f t="shared" si="9"/>
        <v>0.95272727272727264</v>
      </c>
      <c r="AG51" s="636"/>
    </row>
    <row r="52" spans="1:33" ht="15.75" customHeight="1">
      <c r="A52" s="633" t="s">
        <v>12</v>
      </c>
      <c r="B52" s="29" t="s">
        <v>40</v>
      </c>
      <c r="C52" s="622" t="s">
        <v>44</v>
      </c>
      <c r="D52" s="623"/>
      <c r="E52" s="29">
        <v>27.17</v>
      </c>
      <c r="F52" s="515">
        <v>8690</v>
      </c>
      <c r="G52" s="505">
        <f t="shared" si="31"/>
        <v>236107.30000000002</v>
      </c>
      <c r="H52" s="33" t="s">
        <v>57</v>
      </c>
      <c r="I52" s="513">
        <v>10</v>
      </c>
      <c r="J52" s="31">
        <v>3000</v>
      </c>
      <c r="K52" s="12">
        <f t="shared" si="1"/>
        <v>300</v>
      </c>
      <c r="L52" s="513">
        <v>10</v>
      </c>
      <c r="M52" s="13">
        <f t="shared" si="32"/>
        <v>2864.8351648351645</v>
      </c>
      <c r="N52" s="13">
        <f t="shared" si="3"/>
        <v>286.48351648351644</v>
      </c>
      <c r="O52" s="14">
        <f t="shared" si="4"/>
        <v>0</v>
      </c>
      <c r="P52" s="15">
        <f t="shared" si="5"/>
        <v>-13.516483516483561</v>
      </c>
      <c r="Q52" s="504">
        <f t="shared" si="6"/>
        <v>0.95494505494505477</v>
      </c>
      <c r="R52" s="636"/>
      <c r="S52" s="34">
        <v>0.34652777777777777</v>
      </c>
      <c r="T52" s="34">
        <v>0.47291666666666665</v>
      </c>
      <c r="U52" s="505">
        <f t="shared" si="34"/>
        <v>7.9999999999999716</v>
      </c>
      <c r="V52" s="514">
        <f t="shared" si="33"/>
        <v>182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-135.16483516483549</v>
      </c>
      <c r="AF52" s="504">
        <f t="shared" si="9"/>
        <v>0.95494505494505488</v>
      </c>
      <c r="AG52" s="636"/>
    </row>
    <row r="53" spans="1:33" ht="15.75" customHeight="1">
      <c r="A53" s="634" t="s">
        <v>12</v>
      </c>
      <c r="B53" s="29" t="s">
        <v>6</v>
      </c>
      <c r="C53" s="612"/>
      <c r="D53" s="613"/>
      <c r="E53" s="506"/>
      <c r="F53" s="515"/>
      <c r="G53" s="505"/>
      <c r="H53" s="515"/>
      <c r="I53" s="23">
        <v>10</v>
      </c>
      <c r="J53" s="31">
        <v>3000</v>
      </c>
      <c r="K53" s="12">
        <f t="shared" si="1"/>
        <v>300</v>
      </c>
      <c r="L53" s="23">
        <v>10</v>
      </c>
      <c r="M53" s="13">
        <f>AVERAGE(M50:M52)</f>
        <v>2868.4130684130682</v>
      </c>
      <c r="N53" s="12">
        <f t="shared" si="3"/>
        <v>286.84130684130685</v>
      </c>
      <c r="O53" s="14">
        <f t="shared" si="4"/>
        <v>0</v>
      </c>
      <c r="P53" s="15">
        <f t="shared" si="5"/>
        <v>-13.158693158693154</v>
      </c>
      <c r="Q53" s="504">
        <f t="shared" si="6"/>
        <v>0.95613768947102284</v>
      </c>
      <c r="R53" s="637"/>
      <c r="S53" s="34"/>
      <c r="T53" s="34"/>
      <c r="U53" s="505"/>
      <c r="V53" s="514"/>
      <c r="W53" s="16"/>
      <c r="X53" s="16"/>
      <c r="Y53" s="24">
        <f>SUM(Y50:Y52)</f>
        <v>0</v>
      </c>
      <c r="Z53" s="24">
        <f>SUM(Z50:Z52)</f>
        <v>0</v>
      </c>
      <c r="AA53" s="628"/>
      <c r="AB53" s="629"/>
      <c r="AC53" s="24">
        <v>3</v>
      </c>
      <c r="AD53" s="24">
        <f>SUM(AD50:AD52)</f>
        <v>0</v>
      </c>
      <c r="AE53" s="14">
        <f t="shared" si="8"/>
        <v>-131.58693158693177</v>
      </c>
      <c r="AF53" s="504">
        <f t="shared" si="9"/>
        <v>0.95613768947102273</v>
      </c>
      <c r="AG53" s="637"/>
    </row>
    <row r="54" spans="1:33" ht="15.75" customHeight="1">
      <c r="A54" s="630" t="s">
        <v>13</v>
      </c>
      <c r="B54" s="29" t="s">
        <v>15</v>
      </c>
      <c r="C54" s="616" t="s">
        <v>27</v>
      </c>
      <c r="D54" s="616"/>
      <c r="E54" s="29">
        <v>59.04</v>
      </c>
      <c r="F54" s="32">
        <v>2610</v>
      </c>
      <c r="G54" s="505">
        <f t="shared" ref="G54:G60" si="35">E54*F54</f>
        <v>154094.39999999999</v>
      </c>
      <c r="H54" s="33" t="s">
        <v>57</v>
      </c>
      <c r="I54" s="513">
        <v>19</v>
      </c>
      <c r="J54" s="31">
        <v>2000</v>
      </c>
      <c r="K54" s="12">
        <f t="shared" si="1"/>
        <v>105.26315789473684</v>
      </c>
      <c r="L54" s="513">
        <v>19</v>
      </c>
      <c r="M54" s="13">
        <f t="shared" ref="M54" si="36">F54/V54*60</f>
        <v>1909.7560975609761</v>
      </c>
      <c r="N54" s="13">
        <f t="shared" si="3"/>
        <v>100.51347881899873</v>
      </c>
      <c r="O54" s="14">
        <f t="shared" si="4"/>
        <v>0</v>
      </c>
      <c r="P54" s="15">
        <f t="shared" si="5"/>
        <v>-4.7496790757381007</v>
      </c>
      <c r="Q54" s="504">
        <f t="shared" si="6"/>
        <v>0.95487804878048799</v>
      </c>
      <c r="R54" s="615">
        <f>Q61</f>
        <v>0.95557844524155633</v>
      </c>
      <c r="S54" s="34">
        <v>0.16666666666666666</v>
      </c>
      <c r="T54" s="34">
        <v>0.22361111111111109</v>
      </c>
      <c r="U54" s="21"/>
      <c r="V54" s="514">
        <f t="shared" ref="V54:V60" si="37">(T54-S54)*24*60</f>
        <v>81.999999999999986</v>
      </c>
      <c r="W54" s="16">
        <f>T54</f>
        <v>0.22361111111111109</v>
      </c>
      <c r="X54" s="16">
        <f>S55</f>
        <v>0.24305555555555555</v>
      </c>
      <c r="Y54" s="21"/>
      <c r="Z54" s="21"/>
      <c r="AA54" s="617"/>
      <c r="AB54" s="617"/>
      <c r="AC54" s="35">
        <v>7</v>
      </c>
      <c r="AD54" s="18"/>
      <c r="AE54" s="14">
        <f t="shared" si="8"/>
        <v>-90.243902439023941</v>
      </c>
      <c r="AF54" s="504">
        <f t="shared" si="9"/>
        <v>0.95487804878048799</v>
      </c>
      <c r="AG54" s="615">
        <f>AF61</f>
        <v>0.95557844524155622</v>
      </c>
    </row>
    <row r="55" spans="1:33" ht="15.75" customHeight="1">
      <c r="A55" s="630" t="s">
        <v>2589</v>
      </c>
      <c r="B55" s="29" t="s">
        <v>15</v>
      </c>
      <c r="C55" s="616" t="s">
        <v>46</v>
      </c>
      <c r="D55" s="616"/>
      <c r="E55" s="29">
        <v>56.43</v>
      </c>
      <c r="F55" s="32">
        <v>1717</v>
      </c>
      <c r="G55" s="505">
        <f t="shared" si="35"/>
        <v>96890.31</v>
      </c>
      <c r="H55" s="33" t="s">
        <v>57</v>
      </c>
      <c r="I55" s="513">
        <v>22</v>
      </c>
      <c r="J55" s="31">
        <v>2000</v>
      </c>
      <c r="K55" s="12">
        <f t="shared" si="1"/>
        <v>90.909090909090907</v>
      </c>
      <c r="L55" s="513">
        <v>22</v>
      </c>
      <c r="M55" s="13">
        <f>F55/V55*60</f>
        <v>1907.7777777777774</v>
      </c>
      <c r="N55" s="13">
        <f t="shared" si="3"/>
        <v>86.717171717171695</v>
      </c>
      <c r="O55" s="14">
        <f t="shared" si="4"/>
        <v>0</v>
      </c>
      <c r="P55" s="15">
        <f t="shared" si="5"/>
        <v>-4.1919191919192116</v>
      </c>
      <c r="Q55" s="504">
        <f t="shared" si="6"/>
        <v>0.95388888888888868</v>
      </c>
      <c r="R55" s="615"/>
      <c r="S55" s="34">
        <v>0.24305555555555555</v>
      </c>
      <c r="T55" s="34">
        <v>0.28055555555555556</v>
      </c>
      <c r="U55" s="505">
        <f t="shared" ref="U55:U60" si="38">IF(S55=TIME(17,0,0),"",(S55-T54)*24*60)</f>
        <v>28.000000000000021</v>
      </c>
      <c r="V55" s="514">
        <f t="shared" si="37"/>
        <v>54.000000000000007</v>
      </c>
      <c r="W55" s="16"/>
      <c r="X55" s="16"/>
      <c r="Y55" s="16"/>
      <c r="Z55" s="16"/>
      <c r="AA55" s="617"/>
      <c r="AB55" s="617"/>
      <c r="AC55" s="35"/>
      <c r="AD55" s="18"/>
      <c r="AE55" s="14">
        <f t="shared" si="8"/>
        <v>-92.222222222222626</v>
      </c>
      <c r="AF55" s="504">
        <f t="shared" si="9"/>
        <v>0.95388888888888868</v>
      </c>
      <c r="AG55" s="615"/>
    </row>
    <row r="56" spans="1:33" ht="15.75" customHeight="1">
      <c r="A56" s="630" t="s">
        <v>13</v>
      </c>
      <c r="B56" s="29" t="s">
        <v>19</v>
      </c>
      <c r="C56" s="622" t="s">
        <v>81</v>
      </c>
      <c r="D56" s="623"/>
      <c r="E56" s="29">
        <v>46</v>
      </c>
      <c r="F56" s="32">
        <v>3405</v>
      </c>
      <c r="G56" s="505">
        <f t="shared" si="35"/>
        <v>156630</v>
      </c>
      <c r="H56" s="33" t="s">
        <v>57</v>
      </c>
      <c r="I56" s="513">
        <v>16</v>
      </c>
      <c r="J56" s="31">
        <v>2000</v>
      </c>
      <c r="K56" s="12">
        <f t="shared" si="1"/>
        <v>125</v>
      </c>
      <c r="L56" s="513">
        <v>16</v>
      </c>
      <c r="M56" s="13">
        <f t="shared" ref="M56:M60" si="39">F56/V56*60</f>
        <v>1909.3457943925232</v>
      </c>
      <c r="N56" s="13">
        <f t="shared" si="3"/>
        <v>119.3341121495327</v>
      </c>
      <c r="O56" s="14">
        <f t="shared" si="4"/>
        <v>0</v>
      </c>
      <c r="P56" s="15">
        <f t="shared" si="5"/>
        <v>-5.6658878504672998</v>
      </c>
      <c r="Q56" s="504">
        <f t="shared" si="6"/>
        <v>0.95467289719626158</v>
      </c>
      <c r="R56" s="615"/>
      <c r="S56" s="34">
        <v>0.28472222222222221</v>
      </c>
      <c r="T56" s="34">
        <v>0.35902777777777778</v>
      </c>
      <c r="U56" s="505">
        <f t="shared" si="38"/>
        <v>5.9999999999999787</v>
      </c>
      <c r="V56" s="514">
        <f t="shared" si="37"/>
        <v>107.00000000000001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-90.654205607476797</v>
      </c>
      <c r="AF56" s="504">
        <f t="shared" si="9"/>
        <v>0.95467289719626158</v>
      </c>
      <c r="AG56" s="615"/>
    </row>
    <row r="57" spans="1:33" ht="15.75" customHeight="1">
      <c r="A57" s="630" t="s">
        <v>13</v>
      </c>
      <c r="B57" s="29" t="s">
        <v>19</v>
      </c>
      <c r="C57" s="509" t="s">
        <v>945</v>
      </c>
      <c r="D57" s="510"/>
      <c r="E57" s="29">
        <v>46</v>
      </c>
      <c r="F57" s="32">
        <v>4440</v>
      </c>
      <c r="G57" s="505">
        <f t="shared" si="35"/>
        <v>204240</v>
      </c>
      <c r="H57" s="33" t="s">
        <v>57</v>
      </c>
      <c r="I57" s="513">
        <v>17</v>
      </c>
      <c r="J57" s="31">
        <v>2000</v>
      </c>
      <c r="K57" s="12">
        <f t="shared" si="1"/>
        <v>117.64705882352941</v>
      </c>
      <c r="L57" s="513">
        <v>17</v>
      </c>
      <c r="M57" s="13">
        <f t="shared" si="39"/>
        <v>1902.8571428571433</v>
      </c>
      <c r="N57" s="13">
        <f t="shared" si="3"/>
        <v>111.93277310924373</v>
      </c>
      <c r="O57" s="14">
        <f t="shared" si="4"/>
        <v>0</v>
      </c>
      <c r="P57" s="15">
        <f t="shared" si="5"/>
        <v>-5.7142857142856798</v>
      </c>
      <c r="Q57" s="504">
        <f t="shared" si="6"/>
        <v>0.95142857142857173</v>
      </c>
      <c r="R57" s="615"/>
      <c r="S57" s="34">
        <v>0.36249999999999999</v>
      </c>
      <c r="T57" s="34">
        <v>0.4597222222222222</v>
      </c>
      <c r="U57" s="505">
        <f t="shared" si="38"/>
        <v>4.9999999999999822</v>
      </c>
      <c r="V57" s="514">
        <f t="shared" si="37"/>
        <v>139.99999999999997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-97.142857142856656</v>
      </c>
      <c r="AF57" s="504">
        <f t="shared" si="9"/>
        <v>0.95142857142857162</v>
      </c>
      <c r="AG57" s="615"/>
    </row>
    <row r="58" spans="1:33" ht="15.75" customHeight="1">
      <c r="A58" s="630" t="s">
        <v>13</v>
      </c>
      <c r="B58" s="29" t="s">
        <v>15</v>
      </c>
      <c r="C58" s="509" t="s">
        <v>48</v>
      </c>
      <c r="D58" s="510"/>
      <c r="E58" s="29">
        <v>55.56</v>
      </c>
      <c r="F58" s="32">
        <v>2676</v>
      </c>
      <c r="G58" s="505">
        <f t="shared" si="35"/>
        <v>148678.56</v>
      </c>
      <c r="H58" s="33" t="s">
        <v>57</v>
      </c>
      <c r="I58" s="513">
        <v>17</v>
      </c>
      <c r="J58" s="31">
        <v>2000</v>
      </c>
      <c r="K58" s="12">
        <f t="shared" si="1"/>
        <v>117.64705882352941</v>
      </c>
      <c r="L58" s="513">
        <v>17</v>
      </c>
      <c r="M58" s="13">
        <f t="shared" si="39"/>
        <v>1911.4285714285709</v>
      </c>
      <c r="N58" s="13">
        <f t="shared" si="3"/>
        <v>112.43697478991594</v>
      </c>
      <c r="O58" s="14">
        <f t="shared" si="4"/>
        <v>0</v>
      </c>
      <c r="P58" s="15">
        <f t="shared" si="5"/>
        <v>-5.2100840336134695</v>
      </c>
      <c r="Q58" s="504">
        <f t="shared" si="6"/>
        <v>0.95571428571428552</v>
      </c>
      <c r="R58" s="615"/>
      <c r="S58" s="34">
        <v>0.70833333333333337</v>
      </c>
      <c r="T58" s="34">
        <v>0.76666666666666672</v>
      </c>
      <c r="U58" s="505" t="str">
        <f t="shared" si="38"/>
        <v/>
      </c>
      <c r="V58" s="514">
        <f t="shared" si="37"/>
        <v>84.000000000000028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-88.571428571429124</v>
      </c>
      <c r="AF58" s="504">
        <f t="shared" si="9"/>
        <v>0.95571428571428541</v>
      </c>
      <c r="AG58" s="615"/>
    </row>
    <row r="59" spans="1:33" ht="15.75" customHeight="1">
      <c r="A59" s="630" t="s">
        <v>13</v>
      </c>
      <c r="B59" s="29" t="s">
        <v>15</v>
      </c>
      <c r="C59" s="622" t="s">
        <v>841</v>
      </c>
      <c r="D59" s="623"/>
      <c r="E59" s="29">
        <v>54.09</v>
      </c>
      <c r="F59" s="32">
        <v>1851</v>
      </c>
      <c r="G59" s="505">
        <f t="shared" si="35"/>
        <v>100120.59000000001</v>
      </c>
      <c r="H59" s="33" t="s">
        <v>57</v>
      </c>
      <c r="I59" s="513">
        <v>13</v>
      </c>
      <c r="J59" s="31">
        <v>2000</v>
      </c>
      <c r="K59" s="12">
        <f t="shared" si="1"/>
        <v>153.84615384615384</v>
      </c>
      <c r="L59" s="513">
        <v>13</v>
      </c>
      <c r="M59" s="13">
        <f t="shared" si="39"/>
        <v>1914.8275862068979</v>
      </c>
      <c r="N59" s="13">
        <f t="shared" si="3"/>
        <v>147.29442970822291</v>
      </c>
      <c r="O59" s="14">
        <f t="shared" si="4"/>
        <v>0</v>
      </c>
      <c r="P59" s="15">
        <f t="shared" si="5"/>
        <v>-6.5517241379309326</v>
      </c>
      <c r="Q59" s="504">
        <f t="shared" si="6"/>
        <v>0.95741379310344898</v>
      </c>
      <c r="R59" s="615"/>
      <c r="S59" s="34">
        <v>0.77152777777777781</v>
      </c>
      <c r="T59" s="34">
        <v>0.81180555555555556</v>
      </c>
      <c r="U59" s="505">
        <f t="shared" si="38"/>
        <v>6.9999999999999751</v>
      </c>
      <c r="V59" s="514">
        <f t="shared" si="37"/>
        <v>57.999999999999957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-85.172413793102123</v>
      </c>
      <c r="AF59" s="504">
        <f t="shared" si="9"/>
        <v>0.95741379310344898</v>
      </c>
      <c r="AG59" s="615"/>
    </row>
    <row r="60" spans="1:33" ht="15.75" customHeight="1">
      <c r="A60" s="630" t="s">
        <v>13</v>
      </c>
      <c r="B60" s="29" t="s">
        <v>15</v>
      </c>
      <c r="C60" s="622" t="s">
        <v>85</v>
      </c>
      <c r="D60" s="623"/>
      <c r="E60" s="29">
        <v>56.43</v>
      </c>
      <c r="F60" s="32">
        <v>1826</v>
      </c>
      <c r="G60" s="505">
        <f t="shared" si="35"/>
        <v>103041.18</v>
      </c>
      <c r="H60" s="33" t="s">
        <v>57</v>
      </c>
      <c r="I60" s="513">
        <v>13</v>
      </c>
      <c r="J60" s="31">
        <v>2000</v>
      </c>
      <c r="K60" s="12">
        <f t="shared" si="1"/>
        <v>153.84615384615384</v>
      </c>
      <c r="L60" s="513">
        <v>13</v>
      </c>
      <c r="M60" s="13">
        <f t="shared" si="39"/>
        <v>1922.1052631578962</v>
      </c>
      <c r="N60" s="13">
        <f t="shared" si="3"/>
        <v>147.85425101214585</v>
      </c>
      <c r="O60" s="14">
        <f t="shared" si="4"/>
        <v>0</v>
      </c>
      <c r="P60" s="15">
        <f t="shared" si="5"/>
        <v>-5.9919028340079876</v>
      </c>
      <c r="Q60" s="504">
        <f t="shared" si="6"/>
        <v>0.96105263157894805</v>
      </c>
      <c r="R60" s="615"/>
      <c r="S60" s="34">
        <v>0.81527777777777777</v>
      </c>
      <c r="T60" s="34">
        <v>0.85486111111111107</v>
      </c>
      <c r="U60" s="505">
        <f t="shared" si="38"/>
        <v>4.9999999999999822</v>
      </c>
      <c r="V60" s="514">
        <f t="shared" si="37"/>
        <v>56.999999999999957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-77.894736842103839</v>
      </c>
      <c r="AF60" s="504">
        <f t="shared" si="9"/>
        <v>0.96105263157894805</v>
      </c>
      <c r="AG60" s="615"/>
    </row>
    <row r="61" spans="1:33">
      <c r="A61" s="631" t="s">
        <v>13</v>
      </c>
      <c r="B61" s="29" t="s">
        <v>6</v>
      </c>
      <c r="C61" s="618"/>
      <c r="D61" s="618"/>
      <c r="E61" s="507"/>
      <c r="F61" s="30"/>
      <c r="G61" s="12"/>
      <c r="H61" s="515"/>
      <c r="I61" s="23">
        <v>16.714285714285715</v>
      </c>
      <c r="J61" s="31">
        <v>2000</v>
      </c>
      <c r="K61" s="12">
        <f t="shared" si="1"/>
        <v>119.65811965811965</v>
      </c>
      <c r="L61" s="23">
        <v>16.714285714285715</v>
      </c>
      <c r="M61" s="13">
        <f>AVERAGE(M54:M60)</f>
        <v>1911.1568904831124</v>
      </c>
      <c r="N61" s="12">
        <f t="shared" si="3"/>
        <v>114.34271994343408</v>
      </c>
      <c r="O61" s="14">
        <f t="shared" si="4"/>
        <v>0</v>
      </c>
      <c r="P61" s="15">
        <f t="shared" si="5"/>
        <v>-5.3153997146855687</v>
      </c>
      <c r="Q61" s="504">
        <f t="shared" si="6"/>
        <v>0.95557844524155633</v>
      </c>
      <c r="R61" s="615"/>
      <c r="S61" s="34"/>
      <c r="T61" s="34"/>
      <c r="U61" s="505"/>
      <c r="V61" s="514"/>
      <c r="W61" s="12"/>
      <c r="X61" s="12"/>
      <c r="Y61" s="24">
        <f>SUM(Y54:Y60)</f>
        <v>0</v>
      </c>
      <c r="Z61" s="24">
        <f>SUM(Z54:Z60)</f>
        <v>0</v>
      </c>
      <c r="AA61" s="614"/>
      <c r="AB61" s="614"/>
      <c r="AC61" s="24">
        <v>7</v>
      </c>
      <c r="AD61" s="24">
        <f>SUM(AD54:AD60)</f>
        <v>0</v>
      </c>
      <c r="AE61" s="14">
        <f>M61-J61</f>
        <v>-88.84310951688758</v>
      </c>
      <c r="AF61" s="504">
        <f t="shared" si="9"/>
        <v>0.95557844524155622</v>
      </c>
      <c r="AG61" s="615"/>
    </row>
    <row r="62" spans="1:33" ht="15.75" customHeight="1">
      <c r="A62" s="626" t="s">
        <v>182</v>
      </c>
      <c r="B62" s="515" t="s">
        <v>40</v>
      </c>
      <c r="C62" s="616" t="s">
        <v>42</v>
      </c>
      <c r="D62" s="616"/>
      <c r="E62" s="29">
        <v>35.119999999999997</v>
      </c>
      <c r="F62" s="32">
        <v>6467</v>
      </c>
      <c r="G62" s="505">
        <f t="shared" ref="G62:G65" si="40">E62*F62</f>
        <v>227121.03999999998</v>
      </c>
      <c r="H62" s="33" t="s">
        <v>57</v>
      </c>
      <c r="I62" s="513">
        <v>10</v>
      </c>
      <c r="J62" s="31">
        <v>3000</v>
      </c>
      <c r="K62" s="12">
        <f t="shared" si="1"/>
        <v>300</v>
      </c>
      <c r="L62" s="513">
        <v>10</v>
      </c>
      <c r="M62" s="13">
        <f t="shared" ref="M62:M65" si="41">F62/V62*60</f>
        <v>2853.0882352941167</v>
      </c>
      <c r="N62" s="12">
        <f t="shared" si="3"/>
        <v>285.30882352941165</v>
      </c>
      <c r="O62" s="14">
        <f t="shared" si="4"/>
        <v>0</v>
      </c>
      <c r="P62" s="15">
        <f t="shared" si="5"/>
        <v>-14.691176470588346</v>
      </c>
      <c r="Q62" s="504">
        <f t="shared" si="6"/>
        <v>0.95102941176470557</v>
      </c>
      <c r="R62" s="615">
        <f>Q66</f>
        <v>0.95875218870650392</v>
      </c>
      <c r="S62" s="34">
        <v>0.20833333333333334</v>
      </c>
      <c r="T62" s="34">
        <v>0.30277777777777781</v>
      </c>
      <c r="U62" s="505"/>
      <c r="V62" s="514">
        <f t="shared" ref="V62:V65" si="42">(T62-S62)*24*60</f>
        <v>136.00000000000006</v>
      </c>
      <c r="W62" s="16"/>
      <c r="X62" s="16"/>
      <c r="Y62" s="21"/>
      <c r="Z62" s="21"/>
      <c r="AA62" s="617"/>
      <c r="AB62" s="617"/>
      <c r="AC62" s="35">
        <v>4</v>
      </c>
      <c r="AD62" s="18"/>
      <c r="AE62" s="14">
        <f t="shared" ref="AE62:AE75" si="43">M62-J62</f>
        <v>-146.91176470588334</v>
      </c>
      <c r="AF62" s="504">
        <f t="shared" si="9"/>
        <v>0.95102941176470557</v>
      </c>
      <c r="AG62" s="615">
        <f>AF66</f>
        <v>0.95875218870650392</v>
      </c>
    </row>
    <row r="63" spans="1:33" ht="15.75" customHeight="1">
      <c r="A63" s="626" t="s">
        <v>2590</v>
      </c>
      <c r="B63" s="515" t="s">
        <v>40</v>
      </c>
      <c r="C63" s="616" t="s">
        <v>51</v>
      </c>
      <c r="D63" s="616"/>
      <c r="E63" s="29">
        <v>26.78</v>
      </c>
      <c r="F63" s="32">
        <v>2911</v>
      </c>
      <c r="G63" s="505">
        <f t="shared" si="40"/>
        <v>77956.58</v>
      </c>
      <c r="H63" s="33" t="s">
        <v>57</v>
      </c>
      <c r="I63" s="513">
        <v>10</v>
      </c>
      <c r="J63" s="31">
        <v>3000</v>
      </c>
      <c r="K63" s="12">
        <f t="shared" si="1"/>
        <v>300</v>
      </c>
      <c r="L63" s="513">
        <v>10</v>
      </c>
      <c r="M63" s="13">
        <f t="shared" si="41"/>
        <v>2863.2786885245891</v>
      </c>
      <c r="N63" s="12">
        <f t="shared" si="3"/>
        <v>286.32786885245889</v>
      </c>
      <c r="O63" s="14">
        <f t="shared" si="4"/>
        <v>0</v>
      </c>
      <c r="P63" s="15">
        <f t="shared" si="5"/>
        <v>-13.672131147541108</v>
      </c>
      <c r="Q63" s="504">
        <f t="shared" si="6"/>
        <v>0.95442622950819633</v>
      </c>
      <c r="R63" s="615"/>
      <c r="S63" s="34">
        <v>0.30625000000000002</v>
      </c>
      <c r="T63" s="34">
        <v>0.34861111111111115</v>
      </c>
      <c r="U63" s="505">
        <f t="shared" ref="U63:U65" si="44">(S63-T62)*24*60</f>
        <v>4.9999999999999822</v>
      </c>
      <c r="V63" s="514">
        <f t="shared" si="42"/>
        <v>61.000000000000021</v>
      </c>
      <c r="W63" s="505"/>
      <c r="X63" s="505"/>
      <c r="Y63" s="505"/>
      <c r="Z63" s="505"/>
      <c r="AA63" s="617"/>
      <c r="AB63" s="617"/>
      <c r="AC63" s="35"/>
      <c r="AD63" s="18"/>
      <c r="AE63" s="14">
        <f t="shared" si="43"/>
        <v>-136.72131147541086</v>
      </c>
      <c r="AF63" s="504">
        <f t="shared" si="9"/>
        <v>0.95442622950819633</v>
      </c>
      <c r="AG63" s="615"/>
    </row>
    <row r="64" spans="1:33" ht="15.75" customHeight="1">
      <c r="A64" s="626" t="s">
        <v>2590</v>
      </c>
      <c r="B64" s="515" t="s">
        <v>40</v>
      </c>
      <c r="C64" s="616" t="s">
        <v>52</v>
      </c>
      <c r="D64" s="616"/>
      <c r="E64" s="29">
        <v>35.869999999999997</v>
      </c>
      <c r="F64" s="32">
        <v>4369</v>
      </c>
      <c r="G64" s="505">
        <f t="shared" si="40"/>
        <v>156716.03</v>
      </c>
      <c r="H64" s="33" t="s">
        <v>57</v>
      </c>
      <c r="I64" s="513">
        <v>9</v>
      </c>
      <c r="J64" s="31">
        <v>3000</v>
      </c>
      <c r="K64" s="12">
        <f t="shared" si="1"/>
        <v>333.33333333333331</v>
      </c>
      <c r="L64" s="513">
        <v>9</v>
      </c>
      <c r="M64" s="13">
        <f t="shared" si="41"/>
        <v>2880.6593406593411</v>
      </c>
      <c r="N64" s="12">
        <f t="shared" si="3"/>
        <v>320.07326007326014</v>
      </c>
      <c r="O64" s="14">
        <f t="shared" si="4"/>
        <v>0</v>
      </c>
      <c r="P64" s="15">
        <f t="shared" si="5"/>
        <v>-13.26007326007317</v>
      </c>
      <c r="Q64" s="504">
        <f t="shared" si="6"/>
        <v>0.96021978021978049</v>
      </c>
      <c r="R64" s="615"/>
      <c r="S64" s="34">
        <v>0.35416666666666669</v>
      </c>
      <c r="T64" s="34">
        <v>0.41736111111111113</v>
      </c>
      <c r="U64" s="505">
        <f t="shared" si="44"/>
        <v>7.9999999999999716</v>
      </c>
      <c r="V64" s="514">
        <f t="shared" si="42"/>
        <v>91</v>
      </c>
      <c r="W64" s="505"/>
      <c r="X64" s="505"/>
      <c r="Y64" s="505"/>
      <c r="Z64" s="505"/>
      <c r="AA64" s="617"/>
      <c r="AB64" s="617"/>
      <c r="AC64" s="35"/>
      <c r="AD64" s="18"/>
      <c r="AE64" s="14">
        <f t="shared" si="43"/>
        <v>-119.34065934065893</v>
      </c>
      <c r="AF64" s="504">
        <f t="shared" si="9"/>
        <v>0.96021978021978038</v>
      </c>
      <c r="AG64" s="615"/>
    </row>
    <row r="65" spans="1:33" ht="15.75" customHeight="1">
      <c r="A65" s="626" t="s">
        <v>2590</v>
      </c>
      <c r="B65" s="515" t="s">
        <v>40</v>
      </c>
      <c r="C65" s="616" t="s">
        <v>53</v>
      </c>
      <c r="D65" s="616"/>
      <c r="E65" s="29">
        <v>34.35</v>
      </c>
      <c r="F65" s="32">
        <v>2181</v>
      </c>
      <c r="G65" s="505">
        <f t="shared" si="40"/>
        <v>74917.350000000006</v>
      </c>
      <c r="H65" s="33" t="s">
        <v>57</v>
      </c>
      <c r="I65" s="513">
        <v>8</v>
      </c>
      <c r="J65" s="31">
        <v>3000</v>
      </c>
      <c r="K65" s="12">
        <f t="shared" si="1"/>
        <v>375</v>
      </c>
      <c r="L65" s="513">
        <v>8</v>
      </c>
      <c r="M65" s="13">
        <f t="shared" si="41"/>
        <v>2908</v>
      </c>
      <c r="N65" s="12">
        <f t="shared" si="3"/>
        <v>363.5</v>
      </c>
      <c r="O65" s="14">
        <f t="shared" si="4"/>
        <v>0</v>
      </c>
      <c r="P65" s="15">
        <f t="shared" si="5"/>
        <v>-11.5</v>
      </c>
      <c r="Q65" s="504">
        <f t="shared" si="6"/>
        <v>0.96933333333333338</v>
      </c>
      <c r="R65" s="615"/>
      <c r="S65" s="34">
        <v>0.42291666666666666</v>
      </c>
      <c r="T65" s="34">
        <v>0.45416666666666666</v>
      </c>
      <c r="U65" s="505">
        <f t="shared" si="44"/>
        <v>7.9999999999999716</v>
      </c>
      <c r="V65" s="514">
        <f t="shared" si="42"/>
        <v>45</v>
      </c>
      <c r="W65" s="505"/>
      <c r="X65" s="505"/>
      <c r="Y65" s="505"/>
      <c r="Z65" s="505"/>
      <c r="AA65" s="617"/>
      <c r="AB65" s="617"/>
      <c r="AC65" s="35"/>
      <c r="AD65" s="18"/>
      <c r="AE65" s="14">
        <f t="shared" si="43"/>
        <v>-92</v>
      </c>
      <c r="AF65" s="504">
        <f t="shared" si="9"/>
        <v>0.96933333333333338</v>
      </c>
      <c r="AG65" s="615"/>
    </row>
    <row r="66" spans="1:33">
      <c r="A66" s="627" t="s">
        <v>2590</v>
      </c>
      <c r="B66" s="29" t="s">
        <v>2591</v>
      </c>
      <c r="C66" s="618"/>
      <c r="D66" s="618"/>
      <c r="E66" s="507"/>
      <c r="F66" s="30"/>
      <c r="G66" s="12"/>
      <c r="H66" s="515"/>
      <c r="I66" s="23">
        <v>9.25</v>
      </c>
      <c r="J66" s="31">
        <v>3000</v>
      </c>
      <c r="K66" s="12">
        <f t="shared" si="1"/>
        <v>324.32432432432432</v>
      </c>
      <c r="L66" s="23">
        <v>9.25</v>
      </c>
      <c r="M66" s="13">
        <f>AVERAGE(M62:M65)</f>
        <v>2876.2565661195117</v>
      </c>
      <c r="N66" s="12">
        <f t="shared" si="3"/>
        <v>310.94665579670396</v>
      </c>
      <c r="O66" s="14">
        <f t="shared" si="4"/>
        <v>0</v>
      </c>
      <c r="P66" s="15">
        <f t="shared" si="5"/>
        <v>-13.377668527620358</v>
      </c>
      <c r="Q66" s="504">
        <f t="shared" si="6"/>
        <v>0.95875218870650392</v>
      </c>
      <c r="R66" s="615"/>
      <c r="S66" s="34"/>
      <c r="T66" s="34"/>
      <c r="U66" s="12"/>
      <c r="V66" s="514"/>
      <c r="W66" s="12"/>
      <c r="X66" s="12"/>
      <c r="Y66" s="24">
        <f>SUM(Y62:Y65)</f>
        <v>0</v>
      </c>
      <c r="Z66" s="24">
        <f>SUM(Z62:Z65)</f>
        <v>0</v>
      </c>
      <c r="AA66" s="614"/>
      <c r="AB66" s="614"/>
      <c r="AC66" s="24">
        <v>4</v>
      </c>
      <c r="AD66" s="24">
        <f>SUM(AD62:AD65)</f>
        <v>0</v>
      </c>
      <c r="AE66" s="14">
        <f t="shared" si="43"/>
        <v>-123.74343388048828</v>
      </c>
      <c r="AF66" s="504">
        <f t="shared" si="9"/>
        <v>0.95875218870650392</v>
      </c>
      <c r="AG66" s="615"/>
    </row>
    <row r="67" spans="1:33" ht="15.75" customHeight="1">
      <c r="A67" s="619" t="s">
        <v>2592</v>
      </c>
      <c r="B67" s="515" t="s">
        <v>32</v>
      </c>
      <c r="C67" s="616" t="s">
        <v>56</v>
      </c>
      <c r="D67" s="616"/>
      <c r="E67" s="29">
        <v>19.02</v>
      </c>
      <c r="F67" s="515">
        <v>6500</v>
      </c>
      <c r="G67" s="505">
        <f t="shared" ref="G67:G74" si="45">E67*F67</f>
        <v>123630</v>
      </c>
      <c r="H67" s="33">
        <v>2</v>
      </c>
      <c r="I67" s="513">
        <v>14</v>
      </c>
      <c r="J67" s="31">
        <v>2400</v>
      </c>
      <c r="K67" s="12">
        <f t="shared" si="1"/>
        <v>171.42857142857142</v>
      </c>
      <c r="L67" s="513">
        <v>14</v>
      </c>
      <c r="M67" s="13">
        <f t="shared" ref="M67:M74" si="46">F67/V67*60</f>
        <v>2280.7017543859647</v>
      </c>
      <c r="N67" s="12">
        <f t="shared" si="3"/>
        <v>162.90726817042605</v>
      </c>
      <c r="O67" s="14">
        <f t="shared" si="4"/>
        <v>0</v>
      </c>
      <c r="P67" s="15">
        <f t="shared" si="5"/>
        <v>-8.521303258145366</v>
      </c>
      <c r="Q67" s="504">
        <f t="shared" si="6"/>
        <v>0.95029239766081874</v>
      </c>
      <c r="R67" s="615">
        <f>Q75</f>
        <v>0.95716151790764326</v>
      </c>
      <c r="S67" s="34">
        <v>8.3333333333333329E-2</v>
      </c>
      <c r="T67" s="34">
        <v>0.20208333333333334</v>
      </c>
      <c r="U67" s="21"/>
      <c r="V67" s="514">
        <f t="shared" ref="V67:V74" si="47">(T67-S67)*24*60</f>
        <v>171</v>
      </c>
      <c r="W67" s="16">
        <f>T67</f>
        <v>0.20208333333333334</v>
      </c>
      <c r="X67" s="16">
        <f>S68</f>
        <v>0.22083333333333333</v>
      </c>
      <c r="Y67" s="16"/>
      <c r="Z67" s="16"/>
      <c r="AA67" s="617"/>
      <c r="AB67" s="617"/>
      <c r="AC67" s="35">
        <v>8</v>
      </c>
      <c r="AD67" s="18"/>
      <c r="AE67" s="14">
        <f t="shared" si="43"/>
        <v>-119.2982456140353</v>
      </c>
      <c r="AF67" s="504">
        <f t="shared" si="9"/>
        <v>0.95029239766081863</v>
      </c>
      <c r="AG67" s="615">
        <f>AF75</f>
        <v>0.95716151790764326</v>
      </c>
    </row>
    <row r="68" spans="1:33" ht="15.75" customHeight="1">
      <c r="A68" s="620" t="s">
        <v>2592</v>
      </c>
      <c r="B68" s="515" t="s">
        <v>32</v>
      </c>
      <c r="C68" s="616" t="s">
        <v>36</v>
      </c>
      <c r="D68" s="616"/>
      <c r="E68" s="29">
        <v>20.36</v>
      </c>
      <c r="F68" s="515">
        <v>5095</v>
      </c>
      <c r="G68" s="505">
        <f t="shared" si="45"/>
        <v>103734.2</v>
      </c>
      <c r="H68" s="33" t="s">
        <v>57</v>
      </c>
      <c r="I68" s="513">
        <v>17</v>
      </c>
      <c r="J68" s="31">
        <v>2400</v>
      </c>
      <c r="K68" s="12">
        <f t="shared" si="1"/>
        <v>141.1764705882353</v>
      </c>
      <c r="L68" s="513">
        <v>17</v>
      </c>
      <c r="M68" s="13">
        <f t="shared" si="46"/>
        <v>2298.4962406015038</v>
      </c>
      <c r="N68" s="12">
        <f t="shared" si="3"/>
        <v>135.20566121185317</v>
      </c>
      <c r="O68" s="14">
        <f t="shared" si="4"/>
        <v>0</v>
      </c>
      <c r="P68" s="15">
        <f t="shared" si="5"/>
        <v>-5.9708093763821353</v>
      </c>
      <c r="Q68" s="504">
        <f t="shared" si="6"/>
        <v>0.95770676691729317</v>
      </c>
      <c r="R68" s="615"/>
      <c r="S68" s="34">
        <v>0.22083333333333333</v>
      </c>
      <c r="T68" s="34">
        <v>0.31319444444444444</v>
      </c>
      <c r="U68" s="505">
        <f t="shared" ref="U68:U74" si="48">(S68-T67)*24*60</f>
        <v>26.999999999999986</v>
      </c>
      <c r="V68" s="514">
        <f t="shared" si="47"/>
        <v>133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-101.50375939849619</v>
      </c>
      <c r="AF68" s="504">
        <f t="shared" si="9"/>
        <v>0.95770676691729328</v>
      </c>
      <c r="AG68" s="615"/>
    </row>
    <row r="69" spans="1:33" ht="15.75" customHeight="1">
      <c r="A69" s="620" t="s">
        <v>2592</v>
      </c>
      <c r="B69" s="515" t="s">
        <v>32</v>
      </c>
      <c r="C69" s="616" t="s">
        <v>54</v>
      </c>
      <c r="D69" s="616"/>
      <c r="E69" s="29">
        <v>20.21</v>
      </c>
      <c r="F69" s="515">
        <v>3373</v>
      </c>
      <c r="G69" s="505">
        <f t="shared" si="45"/>
        <v>68168.33</v>
      </c>
      <c r="H69" s="33" t="s">
        <v>57</v>
      </c>
      <c r="I69" s="513">
        <v>15</v>
      </c>
      <c r="J69" s="31">
        <v>2400</v>
      </c>
      <c r="K69" s="12">
        <f t="shared" ref="K69:K75" si="49">J69/I69</f>
        <v>160</v>
      </c>
      <c r="L69" s="513">
        <v>15</v>
      </c>
      <c r="M69" s="13">
        <f t="shared" si="46"/>
        <v>2299.772727272727</v>
      </c>
      <c r="N69" s="12">
        <f t="shared" ref="N69:N75" si="50">M69/L69</f>
        <v>153.31818181818181</v>
      </c>
      <c r="O69" s="14">
        <f t="shared" ref="O69:O75" si="51">L69-I69</f>
        <v>0</v>
      </c>
      <c r="P69" s="15">
        <f t="shared" ref="P69:P75" si="52">N69-K69</f>
        <v>-6.681818181818187</v>
      </c>
      <c r="Q69" s="504">
        <f t="shared" ref="Q69:Q75" si="53">N69/K69</f>
        <v>0.95823863636363638</v>
      </c>
      <c r="R69" s="615"/>
      <c r="S69" s="34">
        <v>0.31874999999999998</v>
      </c>
      <c r="T69" s="34">
        <v>0.37986111111111109</v>
      </c>
      <c r="U69" s="505">
        <f t="shared" si="48"/>
        <v>7.9999999999999716</v>
      </c>
      <c r="V69" s="514">
        <f t="shared" si="47"/>
        <v>88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-100.22727272727298</v>
      </c>
      <c r="AF69" s="504">
        <f t="shared" ref="AF69:AF75" si="54">M69/J69</f>
        <v>0.95823863636363626</v>
      </c>
      <c r="AG69" s="615"/>
    </row>
    <row r="70" spans="1:33" ht="15.75" customHeight="1">
      <c r="A70" s="620" t="s">
        <v>2592</v>
      </c>
      <c r="B70" s="515" t="s">
        <v>32</v>
      </c>
      <c r="C70" s="616" t="s">
        <v>55</v>
      </c>
      <c r="D70" s="616"/>
      <c r="E70" s="29">
        <v>22.69</v>
      </c>
      <c r="F70" s="515">
        <v>3249</v>
      </c>
      <c r="G70" s="505">
        <f t="shared" si="45"/>
        <v>73719.81</v>
      </c>
      <c r="H70" s="33" t="s">
        <v>57</v>
      </c>
      <c r="I70" s="513">
        <v>15</v>
      </c>
      <c r="J70" s="31">
        <v>2400</v>
      </c>
      <c r="K70" s="12">
        <f t="shared" si="49"/>
        <v>160</v>
      </c>
      <c r="L70" s="513">
        <v>15</v>
      </c>
      <c r="M70" s="13">
        <f t="shared" si="46"/>
        <v>2293.411764705882</v>
      </c>
      <c r="N70" s="12">
        <f t="shared" si="50"/>
        <v>152.89411764705881</v>
      </c>
      <c r="O70" s="14">
        <f t="shared" si="51"/>
        <v>0</v>
      </c>
      <c r="P70" s="15">
        <f t="shared" si="52"/>
        <v>-7.1058823529411939</v>
      </c>
      <c r="Q70" s="504">
        <f t="shared" si="53"/>
        <v>0.95558823529411752</v>
      </c>
      <c r="R70" s="615"/>
      <c r="S70" s="34">
        <v>0.38541666666666663</v>
      </c>
      <c r="T70" s="34">
        <v>0.44444444444444442</v>
      </c>
      <c r="U70" s="505">
        <f t="shared" si="48"/>
        <v>7.9999999999999716</v>
      </c>
      <c r="V70" s="514">
        <f t="shared" si="47"/>
        <v>85.000000000000014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-106.58823529411802</v>
      </c>
      <c r="AF70" s="504">
        <f t="shared" si="54"/>
        <v>0.95558823529411752</v>
      </c>
      <c r="AG70" s="615"/>
    </row>
    <row r="71" spans="1:33" ht="15.75" customHeight="1">
      <c r="A71" s="620" t="s">
        <v>2592</v>
      </c>
      <c r="B71" s="515" t="s">
        <v>32</v>
      </c>
      <c r="C71" s="616" t="s">
        <v>949</v>
      </c>
      <c r="D71" s="616"/>
      <c r="E71" s="29">
        <v>25.98</v>
      </c>
      <c r="F71" s="515">
        <v>3000</v>
      </c>
      <c r="G71" s="505">
        <f t="shared" si="45"/>
        <v>77940</v>
      </c>
      <c r="H71" s="33">
        <v>2</v>
      </c>
      <c r="I71" s="513">
        <v>17</v>
      </c>
      <c r="J71" s="31">
        <v>2400</v>
      </c>
      <c r="K71" s="12">
        <f t="shared" si="49"/>
        <v>141.1764705882353</v>
      </c>
      <c r="L71" s="513">
        <v>17</v>
      </c>
      <c r="M71" s="13">
        <f t="shared" si="46"/>
        <v>2307.6923076923063</v>
      </c>
      <c r="N71" s="12">
        <f t="shared" si="50"/>
        <v>135.74660633484154</v>
      </c>
      <c r="O71" s="14">
        <f t="shared" si="51"/>
        <v>0</v>
      </c>
      <c r="P71" s="15">
        <f t="shared" si="52"/>
        <v>-5.4298642533937596</v>
      </c>
      <c r="Q71" s="504">
        <f t="shared" si="53"/>
        <v>0.9615384615384609</v>
      </c>
      <c r="R71" s="615"/>
      <c r="S71" s="34">
        <v>0.44930555555555551</v>
      </c>
      <c r="T71" s="34">
        <v>0.50347222222222221</v>
      </c>
      <c r="U71" s="505">
        <f t="shared" si="48"/>
        <v>6.9999999999999751</v>
      </c>
      <c r="V71" s="514">
        <f t="shared" si="47"/>
        <v>78.000000000000043</v>
      </c>
      <c r="W71" s="16">
        <f>T71</f>
        <v>0.50347222222222221</v>
      </c>
      <c r="X71" s="16">
        <f>S72</f>
        <v>0.5444444444444444</v>
      </c>
      <c r="Y71" s="16"/>
      <c r="Z71" s="16"/>
      <c r="AA71" s="617"/>
      <c r="AB71" s="617"/>
      <c r="AC71" s="35"/>
      <c r="AD71" s="18"/>
      <c r="AE71" s="14">
        <f t="shared" si="43"/>
        <v>-92.307692307693742</v>
      </c>
      <c r="AF71" s="504">
        <f t="shared" si="54"/>
        <v>0.9615384615384609</v>
      </c>
      <c r="AG71" s="615"/>
    </row>
    <row r="72" spans="1:33" ht="15.75" customHeight="1">
      <c r="A72" s="620" t="s">
        <v>2592</v>
      </c>
      <c r="B72" s="515" t="s">
        <v>32</v>
      </c>
      <c r="C72" s="616" t="s">
        <v>949</v>
      </c>
      <c r="D72" s="616"/>
      <c r="E72" s="29">
        <v>25.98</v>
      </c>
      <c r="F72" s="515">
        <v>2357</v>
      </c>
      <c r="G72" s="505">
        <f t="shared" si="45"/>
        <v>61234.86</v>
      </c>
      <c r="H72" s="33" t="s">
        <v>57</v>
      </c>
      <c r="I72" s="513">
        <v>17</v>
      </c>
      <c r="J72" s="31">
        <v>2400</v>
      </c>
      <c r="K72" s="12">
        <f t="shared" si="49"/>
        <v>141.1764705882353</v>
      </c>
      <c r="L72" s="513">
        <v>17</v>
      </c>
      <c r="M72" s="13">
        <f t="shared" si="46"/>
        <v>2318.360655737707</v>
      </c>
      <c r="N72" s="12">
        <f t="shared" si="50"/>
        <v>136.37415621986511</v>
      </c>
      <c r="O72" s="14">
        <f t="shared" si="51"/>
        <v>0</v>
      </c>
      <c r="P72" s="15">
        <f t="shared" si="52"/>
        <v>-4.8023143683701903</v>
      </c>
      <c r="Q72" s="504">
        <f t="shared" si="53"/>
        <v>0.96598360655737781</v>
      </c>
      <c r="R72" s="615"/>
      <c r="S72" s="34">
        <v>0.5444444444444444</v>
      </c>
      <c r="T72" s="34">
        <v>0.58680555555555547</v>
      </c>
      <c r="U72" s="505">
        <f t="shared" si="48"/>
        <v>58.99999999999995</v>
      </c>
      <c r="V72" s="514">
        <f t="shared" si="47"/>
        <v>60.999999999999943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-81.63934426229298</v>
      </c>
      <c r="AF72" s="504">
        <f t="shared" si="54"/>
        <v>0.96598360655737792</v>
      </c>
      <c r="AG72" s="615"/>
    </row>
    <row r="73" spans="1:33" ht="15.75" customHeight="1">
      <c r="A73" s="620" t="s">
        <v>2592</v>
      </c>
      <c r="B73" s="515" t="s">
        <v>32</v>
      </c>
      <c r="C73" s="622" t="s">
        <v>37</v>
      </c>
      <c r="D73" s="623"/>
      <c r="E73" s="29">
        <v>24.43</v>
      </c>
      <c r="F73" s="515">
        <v>3444</v>
      </c>
      <c r="G73" s="505">
        <f t="shared" si="45"/>
        <v>84136.92</v>
      </c>
      <c r="H73" s="33" t="s">
        <v>57</v>
      </c>
      <c r="I73" s="513">
        <v>14</v>
      </c>
      <c r="J73" s="31">
        <v>2400</v>
      </c>
      <c r="K73" s="12">
        <f t="shared" si="49"/>
        <v>171.42857142857142</v>
      </c>
      <c r="L73" s="513">
        <v>14</v>
      </c>
      <c r="M73" s="13">
        <f t="shared" si="46"/>
        <v>2296</v>
      </c>
      <c r="N73" s="12">
        <f t="shared" si="50"/>
        <v>164</v>
      </c>
      <c r="O73" s="14">
        <f t="shared" si="51"/>
        <v>0</v>
      </c>
      <c r="P73" s="15">
        <f t="shared" si="52"/>
        <v>-7.4285714285714164</v>
      </c>
      <c r="Q73" s="504">
        <f t="shared" si="53"/>
        <v>0.95666666666666678</v>
      </c>
      <c r="R73" s="615"/>
      <c r="S73" s="34">
        <v>0.59097222222222212</v>
      </c>
      <c r="T73" s="34">
        <v>0.65347222222222212</v>
      </c>
      <c r="U73" s="505">
        <f t="shared" si="48"/>
        <v>5.9999999999999787</v>
      </c>
      <c r="V73" s="514">
        <f t="shared" si="47"/>
        <v>90</v>
      </c>
      <c r="W73" s="16"/>
      <c r="X73" s="16"/>
      <c r="Y73" s="19"/>
      <c r="Z73" s="19"/>
      <c r="AA73" s="624"/>
      <c r="AB73" s="625"/>
      <c r="AC73" s="35"/>
      <c r="AD73" s="18"/>
      <c r="AE73" s="14">
        <f t="shared" si="43"/>
        <v>-104</v>
      </c>
      <c r="AF73" s="504">
        <f t="shared" si="54"/>
        <v>0.95666666666666667</v>
      </c>
      <c r="AG73" s="615"/>
    </row>
    <row r="74" spans="1:33" ht="15.75" customHeight="1">
      <c r="A74" s="620" t="s">
        <v>2592</v>
      </c>
      <c r="B74" s="515" t="s">
        <v>32</v>
      </c>
      <c r="C74" s="622" t="s">
        <v>56</v>
      </c>
      <c r="D74" s="623"/>
      <c r="E74" s="29">
        <v>19.02</v>
      </c>
      <c r="F74" s="515">
        <v>5213</v>
      </c>
      <c r="G74" s="505">
        <f t="shared" si="45"/>
        <v>99151.26</v>
      </c>
      <c r="H74" s="33" t="s">
        <v>57</v>
      </c>
      <c r="I74" s="513">
        <v>14</v>
      </c>
      <c r="J74" s="31">
        <v>2400</v>
      </c>
      <c r="K74" s="12">
        <f t="shared" si="49"/>
        <v>171.42857142857142</v>
      </c>
      <c r="L74" s="513">
        <v>14</v>
      </c>
      <c r="M74" s="13">
        <f t="shared" si="46"/>
        <v>2283.0656934306567</v>
      </c>
      <c r="N74" s="12">
        <f t="shared" si="50"/>
        <v>163.07612095933263</v>
      </c>
      <c r="O74" s="14">
        <f t="shared" si="51"/>
        <v>0</v>
      </c>
      <c r="P74" s="15">
        <f t="shared" si="52"/>
        <v>-8.3524504692387893</v>
      </c>
      <c r="Q74" s="504">
        <f t="shared" si="53"/>
        <v>0.95127737226277376</v>
      </c>
      <c r="R74" s="615"/>
      <c r="S74" s="34">
        <v>0.65833333333333321</v>
      </c>
      <c r="T74" s="34">
        <v>0.7534722222222221</v>
      </c>
      <c r="U74" s="505">
        <f t="shared" si="48"/>
        <v>6.9999999999999751</v>
      </c>
      <c r="V74" s="514">
        <f t="shared" si="47"/>
        <v>137</v>
      </c>
      <c r="W74" s="16"/>
      <c r="X74" s="16"/>
      <c r="Y74" s="19"/>
      <c r="Z74" s="19"/>
      <c r="AA74" s="624"/>
      <c r="AB74" s="625"/>
      <c r="AC74" s="35"/>
      <c r="AD74" s="18"/>
      <c r="AE74" s="14">
        <f t="shared" si="43"/>
        <v>-116.93430656934333</v>
      </c>
      <c r="AF74" s="504">
        <f t="shared" si="54"/>
        <v>0.95127737226277365</v>
      </c>
      <c r="AG74" s="615"/>
    </row>
    <row r="75" spans="1:33" ht="16.5" customHeight="1">
      <c r="A75" s="621" t="s">
        <v>2592</v>
      </c>
      <c r="B75" s="29" t="s">
        <v>2591</v>
      </c>
      <c r="C75" s="612"/>
      <c r="D75" s="613"/>
      <c r="E75" s="507"/>
      <c r="F75" s="30"/>
      <c r="G75" s="12"/>
      <c r="H75" s="515"/>
      <c r="I75" s="23">
        <v>15.375</v>
      </c>
      <c r="J75" s="31">
        <v>2400</v>
      </c>
      <c r="K75" s="12">
        <f t="shared" si="49"/>
        <v>156.09756097560975</v>
      </c>
      <c r="L75" s="23">
        <v>15.375</v>
      </c>
      <c r="M75" s="13">
        <f>AVERAGE(M67:M74)</f>
        <v>2297.1876429783438</v>
      </c>
      <c r="N75" s="12">
        <f t="shared" si="50"/>
        <v>149.41057840509552</v>
      </c>
      <c r="O75" s="14">
        <f t="shared" si="51"/>
        <v>0</v>
      </c>
      <c r="P75" s="15">
        <f t="shared" si="52"/>
        <v>-6.6869825705142318</v>
      </c>
      <c r="Q75" s="504">
        <f t="shared" si="53"/>
        <v>0.95716151790764326</v>
      </c>
      <c r="R75" s="615"/>
      <c r="S75" s="34"/>
      <c r="T75" s="34"/>
      <c r="U75" s="12"/>
      <c r="V75" s="514"/>
      <c r="W75" s="12"/>
      <c r="X75" s="12"/>
      <c r="Y75" s="24">
        <f>SUM(Y67:Y74)</f>
        <v>0</v>
      </c>
      <c r="Z75" s="24">
        <f>SUM(Z67:Z74)</f>
        <v>0</v>
      </c>
      <c r="AA75" s="614"/>
      <c r="AB75" s="614"/>
      <c r="AC75" s="24">
        <v>8</v>
      </c>
      <c r="AD75" s="24">
        <f>SUM(AD67:AD74)</f>
        <v>0</v>
      </c>
      <c r="AE75" s="14">
        <f t="shared" si="43"/>
        <v>-102.81235702165623</v>
      </c>
      <c r="AF75" s="504">
        <f t="shared" si="54"/>
        <v>0.95716151790764326</v>
      </c>
      <c r="AG75" s="615"/>
    </row>
    <row r="76" spans="1:33">
      <c r="D76" s="25"/>
      <c r="E76" s="25"/>
    </row>
  </sheetData>
  <mergeCells count="197">
    <mergeCell ref="A67:A75"/>
    <mergeCell ref="C67:D67"/>
    <mergeCell ref="R67:R75"/>
    <mergeCell ref="AA67:AB67"/>
    <mergeCell ref="AG67:AG75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AA70:AB70"/>
    <mergeCell ref="C71:D71"/>
    <mergeCell ref="AA71:AB71"/>
    <mergeCell ref="C72:D72"/>
    <mergeCell ref="AA72:AB72"/>
    <mergeCell ref="C73:D73"/>
    <mergeCell ref="AA73:AB73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2:A66"/>
    <mergeCell ref="C62:D62"/>
    <mergeCell ref="R62:R66"/>
    <mergeCell ref="AA62:AB62"/>
    <mergeCell ref="AA57:AB57"/>
    <mergeCell ref="AA58:AB58"/>
    <mergeCell ref="C59:D59"/>
    <mergeCell ref="AA59:AB59"/>
    <mergeCell ref="C60:D60"/>
    <mergeCell ref="AA60:AB60"/>
    <mergeCell ref="AA53:AB53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50:A53"/>
    <mergeCell ref="C50:D50"/>
    <mergeCell ref="R50:R53"/>
    <mergeCell ref="AA50:AB50"/>
    <mergeCell ref="AG50:AG53"/>
    <mergeCell ref="C51:D51"/>
    <mergeCell ref="AA51:AB51"/>
    <mergeCell ref="C52:D52"/>
    <mergeCell ref="AA52:AB52"/>
    <mergeCell ref="C53:D53"/>
    <mergeCell ref="C61:D61"/>
    <mergeCell ref="AA61:AB61"/>
    <mergeCell ref="AG32:AG40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41:A49"/>
    <mergeCell ref="C41:D41"/>
    <mergeCell ref="R41:R49"/>
    <mergeCell ref="AA41:AB41"/>
    <mergeCell ref="AG41:AG49"/>
    <mergeCell ref="C42:D42"/>
    <mergeCell ref="AA42:AB42"/>
    <mergeCell ref="C43:D43"/>
    <mergeCell ref="AA43:AB43"/>
    <mergeCell ref="C47:D47"/>
    <mergeCell ref="AA47:AB47"/>
    <mergeCell ref="C48:D48"/>
    <mergeCell ref="AA48:AB48"/>
    <mergeCell ref="C49:D49"/>
    <mergeCell ref="AA49:AB49"/>
    <mergeCell ref="C44:D44"/>
    <mergeCell ref="AA44:AB44"/>
    <mergeCell ref="C45:D45"/>
    <mergeCell ref="AA45:AB45"/>
    <mergeCell ref="C46:D46"/>
    <mergeCell ref="AA46:AB46"/>
    <mergeCell ref="A32:A40"/>
    <mergeCell ref="C32:D32"/>
    <mergeCell ref="R32:R40"/>
    <mergeCell ref="AA32:AB32"/>
    <mergeCell ref="AA37:AB37"/>
    <mergeCell ref="C38:D38"/>
    <mergeCell ref="AA38:AB38"/>
    <mergeCell ref="C40:D40"/>
    <mergeCell ref="AA40:AB40"/>
    <mergeCell ref="AG25:AG31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A25:A31"/>
    <mergeCell ref="C25:D25"/>
    <mergeCell ref="R25:R31"/>
    <mergeCell ref="AA25:AB25"/>
    <mergeCell ref="AA30:AB30"/>
    <mergeCell ref="A17:A24"/>
    <mergeCell ref="C17:D17"/>
    <mergeCell ref="R17:R24"/>
    <mergeCell ref="AA17:AB17"/>
    <mergeCell ref="AG17:AG24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4:D24"/>
    <mergeCell ref="AA24:AB2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5:O72 O61:O62 O75 O5:O10 O16:O18 O24:O59">
    <cfRule type="cellIs" dxfId="1784" priority="56" operator="greaterThan">
      <formula>0</formula>
    </cfRule>
  </conditionalFormatting>
  <conditionalFormatting sqref="P5:P8 P65 AE65 P67:P72 P32:P39 P62 P10 P16:P18 P25:P30 P54:P59 P41:P52 AE5:AE62 AE67:AE75">
    <cfRule type="cellIs" dxfId="1783" priority="60" operator="lessThan">
      <formula>0</formula>
    </cfRule>
  </conditionalFormatting>
  <conditionalFormatting sqref="AF65 Q65:Q72 Q61:Q62 Q75 Q5:Q10 Q16:Q18 Q24:Q59 AF5:AF62 AF67:AF75">
    <cfRule type="cellIs" dxfId="1782" priority="57" operator="greaterThan">
      <formula>1</formula>
    </cfRule>
    <cfRule type="cellIs" dxfId="1781" priority="58" operator="lessThan">
      <formula>0.8</formula>
    </cfRule>
  </conditionalFormatting>
  <conditionalFormatting sqref="AG17:AG18 R17:R18 AG65 R65:R72 AG61:AG62 R61:R62 R75 AG5:AG10 R5:R10 AG24:AG59 R24:R59">
    <cfRule type="cellIs" dxfId="1780" priority="62" operator="lessThan">
      <formula>0.8</formula>
    </cfRule>
  </conditionalFormatting>
  <conditionalFormatting sqref="AG50">
    <cfRule type="cellIs" dxfId="1779" priority="64" operator="lessThan">
      <formula>0.8</formula>
    </cfRule>
  </conditionalFormatting>
  <conditionalFormatting sqref="AG25:AG30">
    <cfRule type="cellIs" dxfId="1778" priority="61" operator="lessThan">
      <formula>0.8</formula>
    </cfRule>
  </conditionalFormatting>
  <conditionalFormatting sqref="AG32">
    <cfRule type="cellIs" dxfId="1777" priority="63" operator="lessThan">
      <formula>0.8</formula>
    </cfRule>
  </conditionalFormatting>
  <conditionalFormatting sqref="AG41:AG48">
    <cfRule type="cellIs" dxfId="1776" priority="59" operator="lessThan">
      <formula>0.8</formula>
    </cfRule>
  </conditionalFormatting>
  <conditionalFormatting sqref="AE66">
    <cfRule type="cellIs" dxfId="1775" priority="55" operator="lessThan">
      <formula>0</formula>
    </cfRule>
  </conditionalFormatting>
  <conditionalFormatting sqref="AF66">
    <cfRule type="cellIs" dxfId="1774" priority="53" operator="greaterThan">
      <formula>1</formula>
    </cfRule>
    <cfRule type="cellIs" dxfId="1773" priority="54" operator="lessThan">
      <formula>0.8</formula>
    </cfRule>
  </conditionalFormatting>
  <conditionalFormatting sqref="O19:O20">
    <cfRule type="cellIs" dxfId="1772" priority="48" operator="greaterThan">
      <formula>0</formula>
    </cfRule>
  </conditionalFormatting>
  <conditionalFormatting sqref="P19:P20">
    <cfRule type="cellIs" dxfId="1771" priority="51" operator="lessThan">
      <formula>0</formula>
    </cfRule>
  </conditionalFormatting>
  <conditionalFormatting sqref="Q19:Q20">
    <cfRule type="cellIs" dxfId="1770" priority="49" operator="greaterThan">
      <formula>1</formula>
    </cfRule>
    <cfRule type="cellIs" dxfId="1769" priority="50" operator="lessThan">
      <formula>0.8</formula>
    </cfRule>
  </conditionalFormatting>
  <conditionalFormatting sqref="R19:R20 AG19:AG20">
    <cfRule type="cellIs" dxfId="1768" priority="52" operator="lessThan">
      <formula>0.8</formula>
    </cfRule>
  </conditionalFormatting>
  <conditionalFormatting sqref="O11:O15">
    <cfRule type="cellIs" dxfId="1767" priority="44" operator="greaterThan">
      <formula>0</formula>
    </cfRule>
  </conditionalFormatting>
  <conditionalFormatting sqref="P11:P15">
    <cfRule type="cellIs" dxfId="1766" priority="47" operator="lessThan">
      <formula>0</formula>
    </cfRule>
  </conditionalFormatting>
  <conditionalFormatting sqref="Q11:Q15">
    <cfRule type="cellIs" dxfId="1765" priority="45" operator="greaterThan">
      <formula>1</formula>
    </cfRule>
    <cfRule type="cellIs" dxfId="1764" priority="46" operator="lessThan">
      <formula>0.8</formula>
    </cfRule>
  </conditionalFormatting>
  <conditionalFormatting sqref="O60">
    <cfRule type="cellIs" dxfId="1763" priority="39" operator="greaterThan">
      <formula>0</formula>
    </cfRule>
  </conditionalFormatting>
  <conditionalFormatting sqref="P60">
    <cfRule type="cellIs" dxfId="1762" priority="42" operator="lessThan">
      <formula>0</formula>
    </cfRule>
  </conditionalFormatting>
  <conditionalFormatting sqref="Q60">
    <cfRule type="cellIs" dxfId="1761" priority="40" operator="greaterThan">
      <formula>1</formula>
    </cfRule>
    <cfRule type="cellIs" dxfId="1760" priority="41" operator="lessThan">
      <formula>0.8</formula>
    </cfRule>
  </conditionalFormatting>
  <conditionalFormatting sqref="R60 AG60">
    <cfRule type="cellIs" dxfId="1759" priority="43" operator="lessThan">
      <formula>0.8</formula>
    </cfRule>
  </conditionalFormatting>
  <conditionalFormatting sqref="O64">
    <cfRule type="cellIs" dxfId="1758" priority="34" operator="greaterThan">
      <formula>0</formula>
    </cfRule>
  </conditionalFormatting>
  <conditionalFormatting sqref="P64 AE64">
    <cfRule type="cellIs" dxfId="1757" priority="37" operator="lessThan">
      <formula>0</formula>
    </cfRule>
  </conditionalFormatting>
  <conditionalFormatting sqref="Q64 AF64">
    <cfRule type="cellIs" dxfId="1756" priority="35" operator="greaterThan">
      <formula>1</formula>
    </cfRule>
    <cfRule type="cellIs" dxfId="1755" priority="36" operator="lessThan">
      <formula>0.8</formula>
    </cfRule>
  </conditionalFormatting>
  <conditionalFormatting sqref="R64 AG64">
    <cfRule type="cellIs" dxfId="1754" priority="38" operator="lessThan">
      <formula>0.8</formula>
    </cfRule>
  </conditionalFormatting>
  <conditionalFormatting sqref="O73">
    <cfRule type="cellIs" dxfId="1753" priority="29" operator="greaterThan">
      <formula>0</formula>
    </cfRule>
  </conditionalFormatting>
  <conditionalFormatting sqref="P73">
    <cfRule type="cellIs" dxfId="1752" priority="32" operator="lessThan">
      <formula>0</formula>
    </cfRule>
  </conditionalFormatting>
  <conditionalFormatting sqref="Q73">
    <cfRule type="cellIs" dxfId="1751" priority="30" operator="greaterThan">
      <formula>1</formula>
    </cfRule>
    <cfRule type="cellIs" dxfId="1750" priority="31" operator="lessThan">
      <formula>0.8</formula>
    </cfRule>
  </conditionalFormatting>
  <conditionalFormatting sqref="R73">
    <cfRule type="cellIs" dxfId="1749" priority="33" operator="lessThan">
      <formula>0.8</formula>
    </cfRule>
  </conditionalFormatting>
  <conditionalFormatting sqref="O21:O22">
    <cfRule type="cellIs" dxfId="1748" priority="24" operator="greaterThan">
      <formula>0</formula>
    </cfRule>
  </conditionalFormatting>
  <conditionalFormatting sqref="P21:P22">
    <cfRule type="cellIs" dxfId="1747" priority="27" operator="lessThan">
      <formula>0</formula>
    </cfRule>
  </conditionalFormatting>
  <conditionalFormatting sqref="Q21:Q22">
    <cfRule type="cellIs" dxfId="1746" priority="25" operator="greaterThan">
      <formula>1</formula>
    </cfRule>
    <cfRule type="cellIs" dxfId="1745" priority="26" operator="lessThan">
      <formula>0.8</formula>
    </cfRule>
  </conditionalFormatting>
  <conditionalFormatting sqref="R21:R22 AG21:AG22">
    <cfRule type="cellIs" dxfId="1744" priority="28" operator="lessThan">
      <formula>0.8</formula>
    </cfRule>
  </conditionalFormatting>
  <conditionalFormatting sqref="O63">
    <cfRule type="cellIs" dxfId="1743" priority="19" operator="greaterThan">
      <formula>0</formula>
    </cfRule>
  </conditionalFormatting>
  <conditionalFormatting sqref="P63 AE63">
    <cfRule type="cellIs" dxfId="1742" priority="22" operator="lessThan">
      <formula>0</formula>
    </cfRule>
  </conditionalFormatting>
  <conditionalFormatting sqref="Q63 AF63">
    <cfRule type="cellIs" dxfId="1741" priority="20" operator="greaterThan">
      <formula>1</formula>
    </cfRule>
    <cfRule type="cellIs" dxfId="1740" priority="21" operator="lessThan">
      <formula>0.8</formula>
    </cfRule>
  </conditionalFormatting>
  <conditionalFormatting sqref="R63 AG63">
    <cfRule type="cellIs" dxfId="1739" priority="23" operator="lessThan">
      <formula>0.8</formula>
    </cfRule>
  </conditionalFormatting>
  <conditionalFormatting sqref="O23">
    <cfRule type="cellIs" dxfId="1738" priority="14" operator="greaterThan">
      <formula>0</formula>
    </cfRule>
  </conditionalFormatting>
  <conditionalFormatting sqref="P23">
    <cfRule type="cellIs" dxfId="1737" priority="17" operator="lessThan">
      <formula>0</formula>
    </cfRule>
  </conditionalFormatting>
  <conditionalFormatting sqref="Q23">
    <cfRule type="cellIs" dxfId="1736" priority="15" operator="greaterThan">
      <formula>1</formula>
    </cfRule>
    <cfRule type="cellIs" dxfId="1735" priority="16" operator="lessThan">
      <formula>0.8</formula>
    </cfRule>
  </conditionalFormatting>
  <conditionalFormatting sqref="AG23 R23">
    <cfRule type="cellIs" dxfId="1734" priority="18" operator="lessThan">
      <formula>0.8</formula>
    </cfRule>
  </conditionalFormatting>
  <conditionalFormatting sqref="P9">
    <cfRule type="cellIs" dxfId="1733" priority="13" operator="lessThan">
      <formula>0</formula>
    </cfRule>
  </conditionalFormatting>
  <conditionalFormatting sqref="P24">
    <cfRule type="cellIs" dxfId="1732" priority="12" operator="lessThan">
      <formula>0</formula>
    </cfRule>
  </conditionalFormatting>
  <conditionalFormatting sqref="P31">
    <cfRule type="cellIs" dxfId="1731" priority="11" operator="lessThan">
      <formula>0</formula>
    </cfRule>
  </conditionalFormatting>
  <conditionalFormatting sqref="P40">
    <cfRule type="cellIs" dxfId="1730" priority="10" operator="lessThan">
      <formula>0</formula>
    </cfRule>
  </conditionalFormatting>
  <conditionalFormatting sqref="P53">
    <cfRule type="cellIs" dxfId="1729" priority="9" operator="lessThan">
      <formula>0</formula>
    </cfRule>
  </conditionalFormatting>
  <conditionalFormatting sqref="P61">
    <cfRule type="cellIs" dxfId="1728" priority="8" operator="lessThan">
      <formula>0</formula>
    </cfRule>
  </conditionalFormatting>
  <conditionalFormatting sqref="P66">
    <cfRule type="cellIs" dxfId="1727" priority="7" operator="lessThan">
      <formula>0</formula>
    </cfRule>
  </conditionalFormatting>
  <conditionalFormatting sqref="P75">
    <cfRule type="cellIs" dxfId="1726" priority="6" operator="lessThan">
      <formula>0</formula>
    </cfRule>
  </conditionalFormatting>
  <conditionalFormatting sqref="O74">
    <cfRule type="cellIs" dxfId="1725" priority="1" operator="greaterThan">
      <formula>0</formula>
    </cfRule>
  </conditionalFormatting>
  <conditionalFormatting sqref="P74">
    <cfRule type="cellIs" dxfId="1724" priority="4" operator="lessThan">
      <formula>0</formula>
    </cfRule>
  </conditionalFormatting>
  <conditionalFormatting sqref="Q74">
    <cfRule type="cellIs" dxfId="1723" priority="2" operator="greaterThan">
      <formula>1</formula>
    </cfRule>
    <cfRule type="cellIs" dxfId="1722" priority="3" operator="lessThan">
      <formula>0.8</formula>
    </cfRule>
  </conditionalFormatting>
  <conditionalFormatting sqref="R74">
    <cfRule type="cellIs" dxfId="1721" priority="5" operator="lessThan">
      <formula>0.8</formula>
    </cfRule>
  </conditionalFormatting>
  <dataValidations count="1">
    <dataValidation type="list" allowBlank="1" showInputMessage="1" showErrorMessage="1" sqref="AB9 AA5:AB8 AA9:AA65 AB11:AB62 AA66:AB75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2400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2401</v>
      </c>
      <c r="C3" s="601" t="str">
        <f>TEXT('0627 4度C'!A2,"yyyy.mm.ddaaaa")</f>
        <v>2026.06.27星期六</v>
      </c>
      <c r="D3" s="602"/>
      <c r="E3" s="39" t="s">
        <v>2402</v>
      </c>
      <c r="F3" s="603">
        <f>'0627 4度C'!D1</f>
        <v>162580</v>
      </c>
      <c r="G3" s="604"/>
      <c r="H3" s="39" t="s">
        <v>2403</v>
      </c>
      <c r="I3" s="605">
        <f>'0627 4度C'!F1</f>
        <v>5622498.5800000001</v>
      </c>
      <c r="J3" s="606"/>
      <c r="K3" s="40"/>
      <c r="L3" s="41"/>
      <c r="M3" s="42"/>
      <c r="N3" s="42"/>
    </row>
    <row r="4" spans="2:17" ht="28.5" customHeight="1">
      <c r="B4" s="607" t="s">
        <v>2404</v>
      </c>
      <c r="C4" s="593" t="s">
        <v>2405</v>
      </c>
      <c r="D4" s="594"/>
      <c r="E4" s="610" t="s">
        <v>2406</v>
      </c>
      <c r="F4" s="611"/>
      <c r="G4" s="610" t="s">
        <v>2407</v>
      </c>
      <c r="H4" s="611"/>
      <c r="I4" s="610" t="s">
        <v>2408</v>
      </c>
      <c r="J4" s="611"/>
      <c r="K4" s="591" t="s">
        <v>2409</v>
      </c>
      <c r="L4" s="592"/>
      <c r="M4" s="592" t="s">
        <v>2410</v>
      </c>
      <c r="N4" s="592"/>
    </row>
    <row r="5" spans="2:17" ht="28.5" customHeight="1">
      <c r="B5" s="608"/>
      <c r="C5" s="593" t="s">
        <v>2411</v>
      </c>
      <c r="D5" s="594"/>
      <c r="E5" s="593" t="s">
        <v>2412</v>
      </c>
      <c r="F5" s="594"/>
      <c r="G5" s="595" t="s">
        <v>2413</v>
      </c>
      <c r="H5" s="596"/>
      <c r="I5" s="597" t="s">
        <v>2414</v>
      </c>
      <c r="J5" s="598"/>
      <c r="K5" s="43" t="s">
        <v>2415</v>
      </c>
      <c r="L5" s="44" t="s">
        <v>2416</v>
      </c>
      <c r="M5" s="43" t="s">
        <v>2415</v>
      </c>
      <c r="N5" s="44" t="s">
        <v>2417</v>
      </c>
    </row>
    <row r="6" spans="2:17" ht="28.5" customHeight="1">
      <c r="B6" s="608"/>
      <c r="C6" s="593" t="s">
        <v>58</v>
      </c>
      <c r="D6" s="594"/>
      <c r="E6" s="585">
        <f>AVERAGE(D13:M13)</f>
        <v>158.33813931933847</v>
      </c>
      <c r="F6" s="586">
        <f>AVERAGE(D31:O31,D13:J13)</f>
        <v>167.2055400358245</v>
      </c>
      <c r="G6" s="587">
        <f>AVERAGE(D13:J13)</f>
        <v>167.2055400358245</v>
      </c>
      <c r="H6" s="588"/>
      <c r="I6" s="587">
        <f>AVERAGE(K13:M13)</f>
        <v>137.64753764753766</v>
      </c>
      <c r="J6" s="588"/>
      <c r="K6" s="589">
        <f>'0627 4度C'!Y2</f>
        <v>0</v>
      </c>
      <c r="L6" s="574">
        <f>'0627 4度C'!Z2</f>
        <v>0</v>
      </c>
      <c r="M6" s="590">
        <f>'0627 4度C'!AC2</f>
        <v>52</v>
      </c>
      <c r="N6" s="574">
        <f>'0627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151.77448726161191</v>
      </c>
      <c r="F7" s="578">
        <f>AVERAGE(D32:O32,D14:J14)</f>
        <v>160.3504295201985</v>
      </c>
      <c r="G7" s="579">
        <f>AVERAGE(D14:J14)</f>
        <v>160.3504295201985</v>
      </c>
      <c r="H7" s="580"/>
      <c r="I7" s="579">
        <f>AVERAGE(K14:M14)</f>
        <v>131.76395532490974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0.95833536729182767</v>
      </c>
      <c r="F8" s="582">
        <f>AVERAGE(D15:J15,D33:O33)</f>
        <v>0.95881931913707863</v>
      </c>
      <c r="G8" s="583">
        <f>AVERAGE(D15:J15)</f>
        <v>0.95881931913707863</v>
      </c>
      <c r="H8" s="584"/>
      <c r="I8" s="583">
        <f>AVERAGE(K15:M15)</f>
        <v>0.95720614631957501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2418</v>
      </c>
      <c r="N9" s="42"/>
      <c r="O9" s="42"/>
      <c r="P9" s="42"/>
      <c r="Q9" s="42"/>
    </row>
    <row r="10" spans="2:17" ht="30" customHeight="1">
      <c r="B10" s="557" t="s">
        <v>2419</v>
      </c>
      <c r="C10" s="558"/>
      <c r="D10" s="559" t="s">
        <v>2420</v>
      </c>
      <c r="E10" s="560"/>
      <c r="F10" s="560"/>
      <c r="G10" s="560"/>
      <c r="H10" s="560"/>
      <c r="I10" s="560"/>
      <c r="J10" s="561"/>
      <c r="K10" s="562" t="s">
        <v>2421</v>
      </c>
      <c r="L10" s="563"/>
      <c r="M10" s="564"/>
      <c r="P10" s="48"/>
      <c r="Q10" s="48"/>
    </row>
    <row r="11" spans="2:17" ht="17.25" customHeight="1">
      <c r="B11" s="565" t="s">
        <v>2422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2423</v>
      </c>
      <c r="C13" s="55" t="s">
        <v>2424</v>
      </c>
      <c r="D13" s="56">
        <f>SUMIFS('0627 4度C'!$K:$K,'0627 4度C'!$A:$A,"新豐6線",'0627 4度C'!$B:$B,"平均")</f>
        <v>130.43478260869566</v>
      </c>
      <c r="E13" s="57">
        <f>SUMIFS('0627 4度C'!$K:$K,'0627 4度C'!$A:$A,"新豐2線",'0627 4度C'!$B:$B,"平均")</f>
        <v>88.235294117647058</v>
      </c>
      <c r="F13" s="58">
        <f>SUMIFS('0627 4度C'!$K:$K,'0627 4度C'!$A:$A,"新豐5線",'0627 4度C'!$B:$B,"平均")</f>
        <v>87.786259541984734</v>
      </c>
      <c r="G13" s="58">
        <f>SUMIFS('0627 4度C'!$K:$K,'0627 4度C'!$A:$A,"新豐7線",'0627 4度C'!$B:$B,"平均")</f>
        <v>119.99999999999999</v>
      </c>
      <c r="H13" s="58">
        <f>SUMIFS('0627 4度C'!$K:$K,'0627 4度C'!$A:$A,"新豐3線",'0627 4度C'!$B:$B,"平均")</f>
        <v>300</v>
      </c>
      <c r="I13" s="58">
        <f>SUMIFS('0627 4度C'!$K:$K,'0627 4度C'!$A:$A,"新豐1線",'0627 4度C'!$B:$B,"平均")</f>
        <v>119.65811965811965</v>
      </c>
      <c r="J13" s="59">
        <f>SUMIFS('0627 4度C'!$K:$K,'0627 4度C'!$A:$A,"新豐10線",'0627 4度C'!$B:$B,"平均")</f>
        <v>324.32432432432432</v>
      </c>
      <c r="K13" s="60">
        <f>SUMIFS('0627 4度C'!$K:$K,'0627 4度C'!$A:$A,"新豐8線",'0627 4度C'!$B:$B,"平均")</f>
        <v>138.46153846153848</v>
      </c>
      <c r="L13" s="61">
        <f>SUMIFS('0627 4度C'!$K:$K,'0627 4度C'!$A:$A,"新豐9線",'0627 4度C'!$B:$B,"平均")</f>
        <v>120.63492063492065</v>
      </c>
      <c r="M13" s="59">
        <f>SUMIFS('0627 4度C'!$K:$K,'0627 4度C'!$A:$A,"新豐4線",'0627 4度C'!$B:$B,"平均")</f>
        <v>153.84615384615384</v>
      </c>
    </row>
    <row r="14" spans="2:17" ht="39.6" customHeight="1">
      <c r="B14" s="570"/>
      <c r="C14" s="62" t="s">
        <v>2425</v>
      </c>
      <c r="D14" s="63">
        <f>SUMIFS('0627 4度C'!$N:$N,'0627 4度C'!$A:$A,"新豐6線",'0627 4度C'!$B:$B,"平均")</f>
        <v>125.11001448777492</v>
      </c>
      <c r="E14" s="64">
        <f>SUMIFS('0627 4度C'!$N:$N,'0627 4度C'!$A:$A,"新豐2線",'0627 4度C'!$B:$B,"平均")</f>
        <v>84.265328205588261</v>
      </c>
      <c r="F14" s="64">
        <f>SUMIFS('0627 4度C'!$N:$N,'0627 4度C'!$A:$A,"新豐5線",'0627 4度C'!$B:$B,"平均")</f>
        <v>84.2408399846951</v>
      </c>
      <c r="G14" s="64">
        <f>SUMIFS('0627 4度C'!$N:$N,'0627 4度C'!$A:$A,"新豐7線",'0627 4度C'!$B:$B,"平均")</f>
        <v>115.13778400274641</v>
      </c>
      <c r="H14" s="64">
        <f>SUMIFS('0627 4度C'!$N:$N,'0627 4度C'!$A:$A,"新豐3線",'0627 4度C'!$B:$B,"平均")</f>
        <v>286.54509283819624</v>
      </c>
      <c r="I14" s="64">
        <f>SUMIFS('0627 4度C'!$N:$N,'0627 4度C'!$A:$A,"新豐1線",'0627 4度C'!$B:$B,"平均")</f>
        <v>114.95457074432511</v>
      </c>
      <c r="J14" s="65">
        <f>SUMIFS('0627 4度C'!$N:$N,'0627 4度C'!$A:$A,"新豐10線",'0627 4度C'!$B:$B,"平均")</f>
        <v>312.19937637806345</v>
      </c>
      <c r="K14" s="66">
        <f>SUMIFS('0627 4度C'!$N:$N,'0627 4度C'!$A:$A,"新豐8線",'0627 4度C'!$B:$B,"平均")</f>
        <v>132.22772107067763</v>
      </c>
      <c r="L14" s="67">
        <f>SUMIFS('0627 4度C'!$N:$N,'0627 4度C'!$A:$A,"新豐9線",'0627 4度C'!$B:$B,"平均")</f>
        <v>115.52196234902534</v>
      </c>
      <c r="M14" s="65">
        <f>SUMIFS('0627 4度C'!$N:$N,'0627 4度C'!$A:$A,"新豐4線",'0627 4度C'!$B:$B,"平均")</f>
        <v>147.5421825550263</v>
      </c>
    </row>
    <row r="15" spans="2:17" ht="40.15" customHeight="1">
      <c r="B15" s="571"/>
      <c r="C15" s="68" t="s">
        <v>2426</v>
      </c>
      <c r="D15" s="69">
        <f t="shared" ref="D15:M15" si="0">D14/D13</f>
        <v>0.95917677773960763</v>
      </c>
      <c r="E15" s="70">
        <f t="shared" si="0"/>
        <v>0.95500705299666699</v>
      </c>
      <c r="F15" s="70">
        <f t="shared" si="0"/>
        <v>0.95961304678217896</v>
      </c>
      <c r="G15" s="70">
        <f t="shared" si="0"/>
        <v>0.95948153335622022</v>
      </c>
      <c r="H15" s="70">
        <f t="shared" si="0"/>
        <v>0.95515030946065416</v>
      </c>
      <c r="I15" s="70">
        <f t="shared" si="0"/>
        <v>0.96069176979186</v>
      </c>
      <c r="J15" s="71">
        <f t="shared" si="0"/>
        <v>0.96261474383236234</v>
      </c>
      <c r="K15" s="69">
        <f t="shared" si="0"/>
        <v>0.95497798551044943</v>
      </c>
      <c r="L15" s="70">
        <f t="shared" si="0"/>
        <v>0.95761626684060475</v>
      </c>
      <c r="M15" s="71">
        <f t="shared" si="0"/>
        <v>0.95902418660767097</v>
      </c>
    </row>
    <row r="16" spans="2:17" ht="17.25" customHeight="1">
      <c r="B16" s="572" t="s">
        <v>2427</v>
      </c>
      <c r="C16" s="72" t="s">
        <v>2428</v>
      </c>
      <c r="D16" s="73">
        <f>VLOOKUP("新豐6線",'0627 4度C'!$A:$T,19,0)</f>
        <v>0.70833333333333337</v>
      </c>
      <c r="E16" s="74">
        <f>VLOOKUP("新豐2線",'0627 4度C'!$A:$T,19,0)</f>
        <v>8.3333333333333329E-2</v>
      </c>
      <c r="F16" s="74">
        <f>VLOOKUP("新豐5線",'0627 4度C'!$A:$T,19,0)</f>
        <v>8.3333333333333329E-2</v>
      </c>
      <c r="G16" s="74">
        <f>VLOOKUP("新豐7線",'0627 4度C'!$A:$T,19,0)</f>
        <v>0.20833333333333334</v>
      </c>
      <c r="H16" s="74">
        <f>VLOOKUP("新豐3線",'0627 4度C'!$A:$T,19,0)</f>
        <v>0.20833333333333334</v>
      </c>
      <c r="I16" s="74">
        <f>VLOOKUP("新豐1線",'0627 4度C'!$A:$T,19,0)</f>
        <v>0.16666666666666666</v>
      </c>
      <c r="J16" s="75">
        <f>VLOOKUP("新豐10線",'0627 4度C'!$A:$T,19,0)</f>
        <v>0.20833333333333334</v>
      </c>
      <c r="K16" s="76">
        <f>VLOOKUP("新豐8線",'0627 4度C'!$A:$T,19,0)</f>
        <v>8.3333333333333329E-2</v>
      </c>
      <c r="L16" s="77">
        <f>VLOOKUP("新豐9線",'0627 4度C'!$A:$T,19,0)</f>
        <v>8.3333333333333329E-2</v>
      </c>
      <c r="M16" s="78">
        <f>VLOOKUP("新豐4線",'0627 4度C'!$A:$T,19,0)</f>
        <v>8.3333333333333329E-2</v>
      </c>
    </row>
    <row r="17" spans="2:13" ht="17.25" customHeight="1">
      <c r="B17" s="573"/>
      <c r="C17" s="72" t="s">
        <v>2429</v>
      </c>
      <c r="D17" s="76">
        <f>LOOKUP(2,1/(('0627 4度C'!$A:$A="新豐6線")*('0627 4度C'!$T:$T&lt;&gt;"")),'0627 4度C'!$T:$T)</f>
        <v>0.84513888888888899</v>
      </c>
      <c r="E17" s="74">
        <f>LOOKUP(2,1/(('0627 4度C'!$A:$A="新豐2線")*('0627 4度C'!$T:$T&lt;&gt;"")),'0627 4度C'!$T:$T)</f>
        <v>0.62708333333333333</v>
      </c>
      <c r="F17" s="74">
        <f>LOOKUP(2,1/(('0627 4度C'!$A:$A="新豐5線")*('0627 4度C'!$T:$T&lt;&gt;"")),'0627 4度C'!$T:$T)</f>
        <v>0.80208333333333337</v>
      </c>
      <c r="G17" s="74">
        <f>LOOKUP(2,1/(('0627 4度C'!$A:$A="新豐7線")*('0627 4度C'!$T:$T&lt;&gt;"")),'0627 4度C'!$T:$T)</f>
        <v>0.82291666666666663</v>
      </c>
      <c r="H17" s="74">
        <f>LOOKUP(2,1/(('0627 4度C'!$A:$A="新豐3線")*('0627 4度C'!$T:$T&lt;&gt;"")),'0627 4度C'!$T:$T)</f>
        <v>0.46875</v>
      </c>
      <c r="I17" s="74">
        <f>LOOKUP(2,1/(('0627 4度C'!$A:$A="新豐1線")*('0627 4度C'!$T:$T&lt;&gt;"")),'0627 4度C'!$T:$T)</f>
        <v>0.83263888888888893</v>
      </c>
      <c r="J17" s="75">
        <f>LOOKUP(2,1/(('0627 4度C'!$A:$A="新豐10線")*('0627 4度C'!$T:$T&lt;&gt;"")),'0627 4度C'!$T:$T)</f>
        <v>0.37291666666666667</v>
      </c>
      <c r="K17" s="73">
        <f>LOOKUP(2,1/(('0627 4度C'!$A:$A="新豐8線")*('0627 4度C'!$T:$T&lt;&gt;"")),'0627 4度C'!$T:$T)</f>
        <v>0.58958333333333335</v>
      </c>
      <c r="L17" s="74">
        <f>LOOKUP(2,1/(('0627 4度C'!$A:$A="新豐9線")*('0627 4度C'!$T:$T&lt;&gt;"")),'0627 4度C'!$T:$T)</f>
        <v>0.66319444444444442</v>
      </c>
      <c r="M17" s="75">
        <f>LOOKUP(2,1/(('0627 4度C'!$A:$A="新豐4線")*('0627 4度C'!$T:$T&lt;&gt;"")),'0627 4度C'!$T:$T)</f>
        <v>0.50208333333333321</v>
      </c>
    </row>
    <row r="18" spans="2:13" ht="17.25" customHeight="1">
      <c r="B18" s="551" t="s">
        <v>2430</v>
      </c>
      <c r="C18" s="79" t="s">
        <v>2431</v>
      </c>
      <c r="D18" s="80">
        <f>SUMIFS('0627 4度C'!$Y:$Y,'0627 4度C'!$A:$A,"新豐6線",'0627 4度C'!$B:$B,"平均")</f>
        <v>0</v>
      </c>
      <c r="E18" s="81">
        <f>SUMIFS('0627 4度C'!$Y:$Y,'0627 4度C'!$A:$A,"新豐2線",'0627 4度C'!$B:$B,"平均")</f>
        <v>0</v>
      </c>
      <c r="F18" s="81">
        <f>SUMIFS('0627 4度C'!$Y:$Y,'0627 4度C'!$A:$A,"新豐5線",'0627 4度C'!$B:$B,"平均")</f>
        <v>0</v>
      </c>
      <c r="G18" s="81">
        <f>SUMIFS('0627 4度C'!$Y:$Y,'0627 4度C'!$A:$A,"新豐7線",'0627 4度C'!$B:$B,"平均")</f>
        <v>0</v>
      </c>
      <c r="H18" s="81">
        <f>SUMIFS('0627 4度C'!$Y:$Y,'0627 4度C'!$A:$A,"新豐3線",'0627 4度C'!$B:$B,"平均")</f>
        <v>0</v>
      </c>
      <c r="I18" s="81">
        <f>SUMIFS('0627 4度C'!$Y:$Y,'0627 4度C'!$A:$A,"新豐1線",'0627 4度C'!$B:$B,"平均")</f>
        <v>0</v>
      </c>
      <c r="J18" s="82">
        <f>SUMIFS('0627 4度C'!$Y:$Y,'0627 4度C'!$A:$A,"新豐10線",'0627 4度C'!$B:$B,"平均")</f>
        <v>0</v>
      </c>
      <c r="K18" s="83">
        <f>SUMIFS('0627 4度C'!$Y:$Y,'0627 4度C'!$A:$A,"新豐8線",'0627 4度C'!$B:$B,"平均")</f>
        <v>0</v>
      </c>
      <c r="L18" s="81">
        <f>SUMIFS('0627 4度C'!$Y:$Y,'0627 4度C'!$A:$A,"新豐9線",'0627 4度C'!$B:$B,"平均")</f>
        <v>0</v>
      </c>
      <c r="M18" s="82">
        <f>SUMIFS('0627 4度C'!$Y:$Y,'0627 4度C'!$A:$A,"新豐4線",'0627 4度C'!$B:$B,"平均")</f>
        <v>0</v>
      </c>
    </row>
    <row r="19" spans="2:13" ht="17.25" customHeight="1">
      <c r="B19" s="552"/>
      <c r="C19" s="79" t="s">
        <v>2432</v>
      </c>
      <c r="D19" s="80">
        <f>SUMIFS('0627 4度C'!$Z:$Z,'0627 4度C'!$A:$A,"新豐6線",'0627 4度C'!$B:$B,"平均")</f>
        <v>0</v>
      </c>
      <c r="E19" s="81">
        <f>SUMIFS('0627 4度C'!$Z:$Z,'0627 4度C'!$A:$A,"新豐2線",'0627 4度C'!$B:$B,"平均")</f>
        <v>0</v>
      </c>
      <c r="F19" s="81">
        <f>SUMIFS('0627 4度C'!$Z:$Z,'0627 4度C'!$A:$A,"新豐5線",'0627 4度C'!$B:$B,"平均")</f>
        <v>0</v>
      </c>
      <c r="G19" s="81">
        <f>SUMIFS('0627 4度C'!$Z:$Z,'0627 4度C'!$A:$A,"新豐7線",'0627 4度C'!$B:$B,"平均")</f>
        <v>0</v>
      </c>
      <c r="H19" s="81">
        <f>SUMIFS('0627 4度C'!$Z:$Z,'0627 4度C'!$A:$A,"新豐3線",'0627 4度C'!$B:$B,"平均")</f>
        <v>0</v>
      </c>
      <c r="I19" s="81">
        <f>SUMIFS('0627 4度C'!$Z:$Z,'0627 4度C'!$A:$A,"新豐1線",'0627 4度C'!$B:$B,"平均")</f>
        <v>0</v>
      </c>
      <c r="J19" s="82">
        <f>SUMIFS('0627 4度C'!$Z:$Z,'0627 4度C'!$A:$A,"新豐10線",'0627 4度C'!$B:$B,"平均")</f>
        <v>0</v>
      </c>
      <c r="K19" s="83">
        <f>SUMIFS('0627 4度C'!$Z:$Z,'0627 4度C'!$A:$A,"新豐8線",'0627 4度C'!$B:$B,"平均")</f>
        <v>0</v>
      </c>
      <c r="L19" s="81">
        <f>SUMIFS('0627 4度C'!$Z:$Z,'0627 4度C'!$A:$A,"新豐9線",'0627 4度C'!$B:$B,"平均")</f>
        <v>0</v>
      </c>
      <c r="M19" s="82">
        <f>SUMIFS('0627 4度C'!$Z:$Z,'0627 4度C'!$A:$A,"新豐4線",'0627 4度C'!$B:$B,"平均")</f>
        <v>0</v>
      </c>
    </row>
    <row r="20" spans="2:13" ht="17.25" customHeight="1">
      <c r="B20" s="551" t="s">
        <v>2433</v>
      </c>
      <c r="C20" s="79" t="s">
        <v>2431</v>
      </c>
      <c r="D20" s="80">
        <f>SUMIFS('0627 4度C'!$AC:$AC,'0627 4度C'!$A:$A,"新豐6線",'0627 4度C'!$B:$B,"平均")</f>
        <v>3</v>
      </c>
      <c r="E20" s="81">
        <f>SUMIFS('0627 4度C'!$AC:$AC,'0627 4度C'!$A:$A,"新豐2線",'0627 4度C'!$B:$B,"平均")</f>
        <v>4</v>
      </c>
      <c r="F20" s="81">
        <f>SUMIFS('0627 4度C'!$AC:$AC,'0627 4度C'!$A:$A,"新豐5線",'0627 4度C'!$B:$B,"平均")</f>
        <v>7</v>
      </c>
      <c r="G20" s="81">
        <f>SUMIFS('0627 4度C'!$AC:$AC,'0627 4度C'!$A:$A,"新豐7線",'0627 4度C'!$B:$B,"平均")</f>
        <v>6</v>
      </c>
      <c r="H20" s="81">
        <f>SUMIFS('0627 4度C'!$AC:$AC,'0627 4度C'!$A:$A,"新豐3線",'0627 4度C'!$B:$B,"平均")</f>
        <v>3</v>
      </c>
      <c r="I20" s="81">
        <f>SUMIFS('0627 4度C'!$AC:$AC,'0627 4度C'!$A:$A,"新豐1線",'0627 4度C'!$B:$B,"平均")</f>
        <v>7</v>
      </c>
      <c r="J20" s="82">
        <f>SUMIFS('0627 4度C'!$AC:$AC,'0627 4度C'!$A:$A,"新豐10線",'0627 4度C'!$B:$B,"平均")</f>
        <v>4</v>
      </c>
      <c r="K20" s="83">
        <f>SUMIFS('0627 4度C'!$AC:$AC,'0627 4度C'!$A:$A,"新豐8線",'0627 4度C'!$B:$B,"平均")</f>
        <v>6</v>
      </c>
      <c r="L20" s="81">
        <f>SUMIFS('0627 4度C'!$AC:$AC,'0627 4度C'!$A:$A,"新豐9線",'0627 4度C'!$B:$B,"平均")</f>
        <v>7</v>
      </c>
      <c r="M20" s="82">
        <f>SUMIFS('0627 4度C'!$AC:$AC,'0627 4度C'!$A:$A,"新豐4線",'0627 4度C'!$B:$B,"平均")</f>
        <v>5</v>
      </c>
    </row>
    <row r="21" spans="2:13" ht="17.25" customHeight="1">
      <c r="B21" s="552"/>
      <c r="C21" s="79" t="s">
        <v>2434</v>
      </c>
      <c r="D21" s="80">
        <f>SUMIFS('0627 4度C'!$AD:$AD,'0627 4度C'!$A:$A,"新豐6線",'0627 4度C'!$B:$B,"平均")</f>
        <v>0</v>
      </c>
      <c r="E21" s="81">
        <f>SUMIFS('0627 4度C'!$AD:$AD,'0627 4度C'!$A:$A,"新豐2線",'0627 4度C'!$B:$B,"平均")</f>
        <v>0</v>
      </c>
      <c r="F21" s="81">
        <f>SUMIFS('0627 4度C'!$AD:$AD,'0627 4度C'!$A:$A,"新豐5線",'0627 4度C'!$B:$B,"平均")</f>
        <v>0</v>
      </c>
      <c r="G21" s="81">
        <f>SUMIFS('0627 4度C'!$AD:$AD,'0627 4度C'!$A:$A,"新豐7線",'0627 4度C'!$B:$B,"平均")</f>
        <v>0</v>
      </c>
      <c r="H21" s="81">
        <f>SUMIFS('0627 4度C'!$AD:$AD,'0627 4度C'!$A:$A,"新豐3線",'0627 4度C'!$B:$B,"平均")</f>
        <v>0</v>
      </c>
      <c r="I21" s="81">
        <f>SUMIFS('0627 4度C'!$AD:$AD,'0627 4度C'!$A:$A,"新豐1線",'0627 4度C'!$B:$B,"平均")</f>
        <v>0</v>
      </c>
      <c r="J21" s="82">
        <f>SUMIFS('0627 4度C'!$AD:$AD,'0627 4度C'!$A:$A,"新豐10線",'0627 4度C'!$B:$B,"平均")</f>
        <v>0</v>
      </c>
      <c r="K21" s="83">
        <f>SUMIFS('0627 4度C'!$AD:$AD,'0627 4度C'!$A:$A,"新豐8線",'0627 4度C'!$B:$B,"平均")</f>
        <v>0</v>
      </c>
      <c r="L21" s="81">
        <f>SUMIFS('0627 4度C'!$AD:$AD,'0627 4度C'!$A:$A,"新豐9線",'0627 4度C'!$B:$B,"平均")</f>
        <v>0</v>
      </c>
      <c r="M21" s="82">
        <f>SUMIFS('0627 4度C'!$AD:$AD,'0627 4度C'!$A:$A,"新豐4線",'0627 4度C'!$B:$B,"平均")</f>
        <v>0</v>
      </c>
    </row>
    <row r="22" spans="2:13" ht="17.25" customHeight="1">
      <c r="B22" s="553" t="s">
        <v>2435</v>
      </c>
      <c r="C22" s="554"/>
      <c r="D22" s="84">
        <f>SUMIFS('0627 4度C'!$I:$I,'0627 4度C'!$A:$A,"新豐6線",'0627 4度C'!$B:$B,"平均")</f>
        <v>15.333333333333334</v>
      </c>
      <c r="E22" s="85">
        <f>SUMIFS('0627 4度C'!$I:$I,'0627 4度C'!$A:$A,"新豐2線",'0627 4度C'!$B:$B,"平均")</f>
        <v>17</v>
      </c>
      <c r="F22" s="85">
        <f>SUMIFS('0627 4度C'!$I:$I,'0627 4度C'!$A:$A,"新豐5線",'0627 4度C'!$B:$B,"平均")</f>
        <v>18.714285714285715</v>
      </c>
      <c r="G22" s="85">
        <f>SUMIFS('0627 4度C'!$I:$I,'0627 4度C'!$A:$A,"新豐7線",'0627 4度C'!$B:$B,"平均")</f>
        <v>16.666666666666668</v>
      </c>
      <c r="H22" s="85">
        <f>SUMIFS('0627 4度C'!$I:$I,'0627 4度C'!$A:$A,"新豐3線",'0627 4度C'!$B:$B,"平均")</f>
        <v>10</v>
      </c>
      <c r="I22" s="85">
        <f>SUMIFS('0627 4度C'!$I:$I,'0627 4度C'!$A:$A,"新豐1線",'0627 4度C'!$B:$B,"平均")</f>
        <v>16.714285714285715</v>
      </c>
      <c r="J22" s="86">
        <f>SUMIFS('0627 4度C'!$I:$I,'0627 4度C'!$A:$A,"新豐10線",'0627 4度C'!$B:$B,"平均")</f>
        <v>9.25</v>
      </c>
      <c r="K22" s="84">
        <f>SUMIFS('0627 4度C'!$I:$I,'0627 4度C'!$A:$A,"新豐8線",'0627 4度C'!$B:$B,"平均")</f>
        <v>17.333333333333332</v>
      </c>
      <c r="L22" s="85">
        <f>SUMIFS('0627 4度C'!$I:$I,'0627 4度C'!$A:$A,"新豐9線",'0627 4度C'!$B:$B,"平均")</f>
        <v>18</v>
      </c>
      <c r="M22" s="86">
        <f>SUMIFS('0627 4度C'!$I:$I,'0627 4度C'!$A:$A,"新豐4線",'0627 4度C'!$B:$B,"平均")</f>
        <v>15.6</v>
      </c>
    </row>
    <row r="23" spans="2:13" ht="17.25" customHeight="1">
      <c r="B23" s="553" t="s">
        <v>2436</v>
      </c>
      <c r="C23" s="554"/>
      <c r="D23" s="87" t="s">
        <v>71</v>
      </c>
      <c r="E23" s="88" t="s">
        <v>72</v>
      </c>
      <c r="F23" s="88" t="s">
        <v>2437</v>
      </c>
      <c r="G23" s="88" t="s">
        <v>2438</v>
      </c>
      <c r="H23" s="88" t="s">
        <v>73</v>
      </c>
      <c r="I23" s="88" t="s">
        <v>71</v>
      </c>
      <c r="J23" s="89" t="s">
        <v>73</v>
      </c>
      <c r="K23" s="87" t="s">
        <v>2439</v>
      </c>
      <c r="L23" s="88" t="s">
        <v>2439</v>
      </c>
      <c r="M23" s="89" t="s">
        <v>2439</v>
      </c>
    </row>
    <row r="24" spans="2:13" ht="17.25" customHeight="1">
      <c r="B24" s="553" t="s">
        <v>2440</v>
      </c>
      <c r="C24" s="554"/>
      <c r="D24" s="87"/>
      <c r="E24" s="88"/>
      <c r="F24" s="88" t="s">
        <v>2441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2442</v>
      </c>
      <c r="C25" s="556"/>
      <c r="D25" s="90"/>
      <c r="E25" s="91" t="s">
        <v>2443</v>
      </c>
      <c r="F25" s="549" t="s">
        <v>2444</v>
      </c>
      <c r="G25" s="550"/>
      <c r="H25" s="91" t="s">
        <v>2445</v>
      </c>
      <c r="I25" s="91" t="s">
        <v>2446</v>
      </c>
      <c r="J25" s="92" t="s">
        <v>2445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72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7"/>
  <sheetViews>
    <sheetView zoomScale="80" zoomScaleNormal="80" workbookViewId="0">
      <pane ySplit="4" topLeftCell="A23" activePane="bottomLeft" state="frozen"/>
      <selection activeCell="A9" sqref="A9"/>
      <selection pane="bottomLeft" activeCell="A9" sqref="A9:A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2447</v>
      </c>
      <c r="B1" s="1"/>
      <c r="C1" s="2" t="s">
        <v>2448</v>
      </c>
      <c r="D1" s="3">
        <f>SUM(F5:F66)</f>
        <v>162580</v>
      </c>
      <c r="E1" s="490" t="s">
        <v>2449</v>
      </c>
      <c r="F1" s="1">
        <f>SUM(G5:G66)</f>
        <v>5622498.5800000001</v>
      </c>
      <c r="G1" s="1" t="s">
        <v>2450</v>
      </c>
      <c r="H1" s="4">
        <f>L8+L13+L47+L55+L21+L60+L35+L43+L28+L66</f>
        <v>154.61190476190475</v>
      </c>
      <c r="I1" s="663" t="s">
        <v>2451</v>
      </c>
      <c r="J1" s="663"/>
      <c r="K1" s="663"/>
      <c r="L1" s="663" t="s">
        <v>2452</v>
      </c>
      <c r="M1" s="663"/>
      <c r="N1" s="663"/>
      <c r="O1" s="663" t="s">
        <v>2453</v>
      </c>
      <c r="P1" s="663"/>
      <c r="Q1" s="663"/>
      <c r="R1" s="663"/>
      <c r="S1" s="663" t="s">
        <v>2454</v>
      </c>
      <c r="T1" s="663"/>
      <c r="U1" s="663"/>
      <c r="V1" s="663"/>
      <c r="W1" s="663"/>
      <c r="X1" s="663"/>
      <c r="Y1" s="5" t="s">
        <v>2455</v>
      </c>
      <c r="Z1" s="6" t="s">
        <v>2456</v>
      </c>
      <c r="AA1" s="664" t="s">
        <v>2457</v>
      </c>
      <c r="AB1" s="664"/>
      <c r="AC1" s="188" t="s">
        <v>2455</v>
      </c>
      <c r="AD1" s="6" t="s">
        <v>2458</v>
      </c>
      <c r="AE1" s="663" t="s">
        <v>2459</v>
      </c>
      <c r="AF1" s="665"/>
      <c r="AG1" s="665"/>
    </row>
    <row r="2" spans="1:33" ht="26.25" customHeight="1">
      <c r="A2" s="27">
        <v>46200</v>
      </c>
      <c r="B2" s="28" t="s">
        <v>629</v>
      </c>
      <c r="C2" s="2" t="s">
        <v>2423</v>
      </c>
      <c r="D2" s="8">
        <f>AVERAGE(N8,N13,N47,N55,N21,N60,N28,N35,N43,N66)</f>
        <v>151.77448726161191</v>
      </c>
      <c r="E2" s="9" t="s">
        <v>0</v>
      </c>
      <c r="F2" s="10">
        <f>F1/D1</f>
        <v>34.582965801451593</v>
      </c>
      <c r="G2" s="1" t="s">
        <v>2460</v>
      </c>
      <c r="H2" s="489">
        <f>COUNT(H5:H66)</f>
        <v>4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SUM(Y8+Y13+Y21+Y28+Y35+Y43+Y47+Y55+Y60+Y66)</f>
        <v>0</v>
      </c>
      <c r="Z2" s="11">
        <f>SUM(Z8+Z13+Z21+Z28+Z35+Z43+Z47+Z55+Z60+Z66)</f>
        <v>0</v>
      </c>
      <c r="AA2" s="664"/>
      <c r="AB2" s="664"/>
      <c r="AC2" s="11">
        <v>52</v>
      </c>
      <c r="AD2" s="11">
        <f>SUM(AD8+AD13+AD21+AD28+AD35+AD43+AD47+AD55+AD60+AD66)</f>
        <v>0</v>
      </c>
      <c r="AE2" s="665"/>
      <c r="AF2" s="665"/>
      <c r="AG2" s="665"/>
    </row>
    <row r="3" spans="1:33" ht="40.5" customHeight="1">
      <c r="A3" s="617" t="s">
        <v>2461</v>
      </c>
      <c r="B3" s="617" t="s">
        <v>2462</v>
      </c>
      <c r="C3" s="617" t="s">
        <v>2463</v>
      </c>
      <c r="D3" s="617"/>
      <c r="E3" s="661" t="s">
        <v>2464</v>
      </c>
      <c r="F3" s="617" t="s">
        <v>2465</v>
      </c>
      <c r="G3" s="661" t="s">
        <v>2466</v>
      </c>
      <c r="H3" s="654" t="s">
        <v>2467</v>
      </c>
      <c r="I3" s="652" t="s">
        <v>2468</v>
      </c>
      <c r="J3" s="649" t="s">
        <v>2469</v>
      </c>
      <c r="K3" s="659" t="s">
        <v>2423</v>
      </c>
      <c r="L3" s="652" t="s">
        <v>2468</v>
      </c>
      <c r="M3" s="649" t="s">
        <v>2469</v>
      </c>
      <c r="N3" s="659" t="s">
        <v>2423</v>
      </c>
      <c r="O3" s="652" t="s">
        <v>2468</v>
      </c>
      <c r="P3" s="659" t="s">
        <v>2423</v>
      </c>
      <c r="Q3" s="650" t="s">
        <v>2470</v>
      </c>
      <c r="R3" s="630" t="s">
        <v>2471</v>
      </c>
      <c r="S3" s="660" t="s">
        <v>1</v>
      </c>
      <c r="T3" s="660"/>
      <c r="U3" s="654" t="s">
        <v>2</v>
      </c>
      <c r="V3" s="654" t="s">
        <v>2472</v>
      </c>
      <c r="W3" s="617" t="s">
        <v>2473</v>
      </c>
      <c r="X3" s="617"/>
      <c r="Y3" s="655" t="s">
        <v>2474</v>
      </c>
      <c r="Z3" s="614"/>
      <c r="AA3" s="656" t="s">
        <v>2475</v>
      </c>
      <c r="AB3" s="657"/>
      <c r="AC3" s="655" t="s">
        <v>2476</v>
      </c>
      <c r="AD3" s="614"/>
      <c r="AE3" s="649" t="s">
        <v>2469</v>
      </c>
      <c r="AF3" s="650" t="s">
        <v>2477</v>
      </c>
      <c r="AG3" s="630" t="s">
        <v>2471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492" t="s">
        <v>3</v>
      </c>
      <c r="T4" s="492" t="s">
        <v>4</v>
      </c>
      <c r="U4" s="654"/>
      <c r="V4" s="654"/>
      <c r="W4" s="490" t="s">
        <v>2478</v>
      </c>
      <c r="X4" s="490" t="s">
        <v>2479</v>
      </c>
      <c r="Y4" s="497" t="s">
        <v>2431</v>
      </c>
      <c r="Z4" s="497" t="s">
        <v>2480</v>
      </c>
      <c r="AA4" s="658"/>
      <c r="AB4" s="657"/>
      <c r="AC4" s="497" t="s">
        <v>2481</v>
      </c>
      <c r="AD4" s="497" t="s">
        <v>2482</v>
      </c>
      <c r="AE4" s="649"/>
      <c r="AF4" s="650"/>
      <c r="AG4" s="630"/>
    </row>
    <row r="5" spans="1:33">
      <c r="A5" s="651" t="s">
        <v>2483</v>
      </c>
      <c r="B5" s="29" t="s">
        <v>15</v>
      </c>
      <c r="C5" s="653" t="s">
        <v>17</v>
      </c>
      <c r="D5" s="653"/>
      <c r="E5" s="29">
        <v>50.67</v>
      </c>
      <c r="F5" s="492">
        <v>1315</v>
      </c>
      <c r="G5" s="490">
        <f t="shared" ref="G5:G7" si="0">E5*F5</f>
        <v>66631.05</v>
      </c>
      <c r="H5" s="33" t="s">
        <v>57</v>
      </c>
      <c r="I5" s="493">
        <v>15</v>
      </c>
      <c r="J5" s="31">
        <v>2000</v>
      </c>
      <c r="K5" s="12">
        <f t="shared" ref="K5:K66" si="1">J5/I5</f>
        <v>133.33333333333334</v>
      </c>
      <c r="L5" s="493">
        <v>15</v>
      </c>
      <c r="M5" s="13">
        <f t="shared" ref="M5:M7" si="2">F5/V5*60</f>
        <v>1924.3902439024384</v>
      </c>
      <c r="N5" s="12">
        <f t="shared" ref="N5:N66" si="3">M5/L5</f>
        <v>128.29268292682923</v>
      </c>
      <c r="O5" s="14">
        <f t="shared" ref="O5:O66" si="4">L5-I5</f>
        <v>0</v>
      </c>
      <c r="P5" s="15">
        <f t="shared" ref="P5:P66" si="5">N5-K5</f>
        <v>-5.0406504065041133</v>
      </c>
      <c r="Q5" s="498">
        <f t="shared" ref="Q5:Q66" si="6">N5/K5</f>
        <v>0.96219512195121915</v>
      </c>
      <c r="R5" s="615">
        <f>Q8</f>
        <v>0.95917677773960763</v>
      </c>
      <c r="S5" s="34">
        <v>0.70833333333333337</v>
      </c>
      <c r="T5" s="34">
        <v>0.7368055555555556</v>
      </c>
      <c r="U5" s="490"/>
      <c r="V5" s="491">
        <f t="shared" ref="V5:V7" si="7">(T5-S5)*24*60</f>
        <v>41.000000000000014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4" si="8">M5-J5</f>
        <v>-75.609756097561558</v>
      </c>
      <c r="AF5" s="498">
        <f t="shared" ref="AF5:AF66" si="9">M5/J5</f>
        <v>0.96219512195121926</v>
      </c>
      <c r="AG5" s="615">
        <f>AF8</f>
        <v>0.95917677773960774</v>
      </c>
    </row>
    <row r="6" spans="1:33">
      <c r="A6" s="652" t="s">
        <v>2484</v>
      </c>
      <c r="B6" s="29" t="s">
        <v>15</v>
      </c>
      <c r="C6" s="653" t="s">
        <v>26</v>
      </c>
      <c r="D6" s="653"/>
      <c r="E6" s="29">
        <v>50.92</v>
      </c>
      <c r="F6" s="492">
        <v>2278</v>
      </c>
      <c r="G6" s="490">
        <f t="shared" si="0"/>
        <v>115995.76000000001</v>
      </c>
      <c r="H6" s="33" t="s">
        <v>57</v>
      </c>
      <c r="I6" s="493">
        <v>15</v>
      </c>
      <c r="J6" s="31">
        <v>2000</v>
      </c>
      <c r="K6" s="12">
        <f t="shared" si="1"/>
        <v>133.33333333333334</v>
      </c>
      <c r="L6" s="493">
        <v>15</v>
      </c>
      <c r="M6" s="13">
        <f t="shared" si="2"/>
        <v>1925.0704225352094</v>
      </c>
      <c r="N6" s="12">
        <f t="shared" si="3"/>
        <v>128.33802816901397</v>
      </c>
      <c r="O6" s="14">
        <f t="shared" si="4"/>
        <v>0</v>
      </c>
      <c r="P6" s="15">
        <f t="shared" si="5"/>
        <v>-4.995305164319376</v>
      </c>
      <c r="Q6" s="498">
        <f t="shared" si="6"/>
        <v>0.96253521126760466</v>
      </c>
      <c r="R6" s="615"/>
      <c r="S6" s="34">
        <v>0.74027777777777781</v>
      </c>
      <c r="T6" s="34">
        <v>0.78958333333333341</v>
      </c>
      <c r="U6" s="490">
        <f t="shared" ref="U6:U7" si="10">IF(S6=TIME(17,0,0),"",(S6-T5)*24*60)</f>
        <v>4.9999999999999822</v>
      </c>
      <c r="V6" s="491">
        <f t="shared" si="7"/>
        <v>71.000000000000071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-74.929577464790555</v>
      </c>
      <c r="AF6" s="498">
        <f t="shared" si="9"/>
        <v>0.96253521126760477</v>
      </c>
      <c r="AG6" s="615"/>
    </row>
    <row r="7" spans="1:33">
      <c r="A7" s="652" t="s">
        <v>2484</v>
      </c>
      <c r="B7" s="29" t="s">
        <v>15</v>
      </c>
      <c r="C7" s="644" t="s">
        <v>31</v>
      </c>
      <c r="D7" s="645"/>
      <c r="E7" s="29">
        <v>50.98</v>
      </c>
      <c r="F7" s="492">
        <v>2382</v>
      </c>
      <c r="G7" s="490">
        <f t="shared" si="0"/>
        <v>121434.35999999999</v>
      </c>
      <c r="H7" s="33" t="s">
        <v>57</v>
      </c>
      <c r="I7" s="493">
        <v>16</v>
      </c>
      <c r="J7" s="31">
        <v>2000</v>
      </c>
      <c r="K7" s="12">
        <f t="shared" si="1"/>
        <v>125</v>
      </c>
      <c r="L7" s="493">
        <v>16</v>
      </c>
      <c r="M7" s="13">
        <f t="shared" si="2"/>
        <v>1905.5999999999985</v>
      </c>
      <c r="N7" s="12">
        <f t="shared" si="3"/>
        <v>119.09999999999991</v>
      </c>
      <c r="O7" s="14">
        <f t="shared" si="4"/>
        <v>0</v>
      </c>
      <c r="P7" s="15">
        <f t="shared" si="5"/>
        <v>-5.9000000000000909</v>
      </c>
      <c r="Q7" s="498">
        <f t="shared" si="6"/>
        <v>0.95279999999999931</v>
      </c>
      <c r="R7" s="615"/>
      <c r="S7" s="34">
        <v>0.79305555555555562</v>
      </c>
      <c r="T7" s="34">
        <v>0.84513888888888899</v>
      </c>
      <c r="U7" s="490">
        <f t="shared" si="10"/>
        <v>4.9999999999999822</v>
      </c>
      <c r="V7" s="491">
        <f t="shared" si="7"/>
        <v>75.000000000000057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-94.400000000001455</v>
      </c>
      <c r="AF7" s="498">
        <f t="shared" si="9"/>
        <v>0.95279999999999931</v>
      </c>
      <c r="AG7" s="615"/>
    </row>
    <row r="8" spans="1:33">
      <c r="A8" s="652" t="s">
        <v>2484</v>
      </c>
      <c r="B8" s="29" t="s">
        <v>2485</v>
      </c>
      <c r="C8" s="618"/>
      <c r="D8" s="618"/>
      <c r="E8" s="496"/>
      <c r="F8" s="30"/>
      <c r="G8" s="12"/>
      <c r="H8" s="492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1918.3535554792154</v>
      </c>
      <c r="N8" s="12">
        <f t="shared" si="3"/>
        <v>125.11001448777492</v>
      </c>
      <c r="O8" s="14">
        <f t="shared" si="4"/>
        <v>0</v>
      </c>
      <c r="P8" s="15">
        <f t="shared" si="5"/>
        <v>-5.3247681209207371</v>
      </c>
      <c r="Q8" s="498">
        <f t="shared" si="6"/>
        <v>0.95917677773960763</v>
      </c>
      <c r="R8" s="615"/>
      <c r="S8" s="34"/>
      <c r="T8" s="34"/>
      <c r="U8" s="490"/>
      <c r="V8" s="491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-81.646444520784598</v>
      </c>
      <c r="AF8" s="498">
        <f t="shared" si="9"/>
        <v>0.95917677773960774</v>
      </c>
      <c r="AG8" s="615"/>
    </row>
    <row r="9" spans="1:33" ht="15.75" customHeight="1">
      <c r="A9" s="648" t="s">
        <v>2486</v>
      </c>
      <c r="B9" s="29" t="s">
        <v>19</v>
      </c>
      <c r="C9" s="644" t="s">
        <v>20</v>
      </c>
      <c r="D9" s="645"/>
      <c r="E9" s="29">
        <v>39.619999999999997</v>
      </c>
      <c r="F9" s="492">
        <v>4822</v>
      </c>
      <c r="G9" s="490">
        <f t="shared" ref="G9:G12" si="11">E9*F9</f>
        <v>191047.63999999998</v>
      </c>
      <c r="H9" s="33" t="s">
        <v>57</v>
      </c>
      <c r="I9" s="493">
        <v>19</v>
      </c>
      <c r="J9" s="31">
        <v>1500</v>
      </c>
      <c r="K9" s="12">
        <f t="shared" si="1"/>
        <v>78.94736842105263</v>
      </c>
      <c r="L9" s="493">
        <v>19</v>
      </c>
      <c r="M9" s="13">
        <f t="shared" ref="M9:M12" si="12">F9/V9*60</f>
        <v>1432.2772277227723</v>
      </c>
      <c r="N9" s="12">
        <f t="shared" si="3"/>
        <v>75.38301198540907</v>
      </c>
      <c r="O9" s="14">
        <f t="shared" si="4"/>
        <v>0</v>
      </c>
      <c r="P9" s="15">
        <f t="shared" si="5"/>
        <v>-3.5643564356435604</v>
      </c>
      <c r="Q9" s="498">
        <f t="shared" si="6"/>
        <v>0.95485148514851492</v>
      </c>
      <c r="R9" s="615">
        <f>Q13</f>
        <v>0.95500705299666699</v>
      </c>
      <c r="S9" s="34">
        <v>8.3333333333333329E-2</v>
      </c>
      <c r="T9" s="34">
        <v>0.22361111111111109</v>
      </c>
      <c r="U9" s="490"/>
      <c r="V9" s="491">
        <f t="shared" ref="V9:V12" si="13">(T9-S9)*24*60</f>
        <v>202</v>
      </c>
      <c r="W9" s="16">
        <f>T9</f>
        <v>0.22361111111111109</v>
      </c>
      <c r="X9" s="16">
        <f>S10</f>
        <v>0.24236111111111108</v>
      </c>
      <c r="Y9" s="16"/>
      <c r="Z9" s="16"/>
      <c r="AA9" s="617"/>
      <c r="AB9" s="617"/>
      <c r="AC9" s="35">
        <v>4</v>
      </c>
      <c r="AD9" s="18"/>
      <c r="AE9" s="14">
        <f t="shared" si="8"/>
        <v>-67.722772277227705</v>
      </c>
      <c r="AF9" s="498">
        <f t="shared" si="9"/>
        <v>0.95485148514851481</v>
      </c>
      <c r="AG9" s="615">
        <f>AF13</f>
        <v>0.95500705299666699</v>
      </c>
    </row>
    <row r="10" spans="1:33" ht="15.75" customHeight="1">
      <c r="A10" s="648" t="s">
        <v>2486</v>
      </c>
      <c r="B10" s="29" t="s">
        <v>19</v>
      </c>
      <c r="C10" s="644" t="s">
        <v>83</v>
      </c>
      <c r="D10" s="645"/>
      <c r="E10" s="29">
        <v>39.46</v>
      </c>
      <c r="F10" s="492">
        <v>4528</v>
      </c>
      <c r="G10" s="490">
        <f t="shared" si="11"/>
        <v>178674.88</v>
      </c>
      <c r="H10" s="33" t="s">
        <v>57</v>
      </c>
      <c r="I10" s="493">
        <v>15</v>
      </c>
      <c r="J10" s="31">
        <v>1500</v>
      </c>
      <c r="K10" s="12">
        <f t="shared" si="1"/>
        <v>100</v>
      </c>
      <c r="L10" s="493">
        <v>15</v>
      </c>
      <c r="M10" s="13">
        <f t="shared" si="12"/>
        <v>1429.8947368421047</v>
      </c>
      <c r="N10" s="12">
        <f t="shared" si="3"/>
        <v>95.326315789473654</v>
      </c>
      <c r="O10" s="14">
        <f t="shared" si="4"/>
        <v>0</v>
      </c>
      <c r="P10" s="15">
        <f t="shared" si="5"/>
        <v>-4.6736842105263463</v>
      </c>
      <c r="Q10" s="498">
        <f t="shared" si="6"/>
        <v>0.95326315789473659</v>
      </c>
      <c r="R10" s="615"/>
      <c r="S10" s="34">
        <v>0.24236111111111108</v>
      </c>
      <c r="T10" s="34">
        <v>0.37430555555555556</v>
      </c>
      <c r="U10" s="490">
        <f t="shared" ref="U10:U12" si="14">IF(S10=TIME(17,0,0),"",(S10-T9)*24*60)</f>
        <v>26.999999999999986</v>
      </c>
      <c r="V10" s="491">
        <f t="shared" si="13"/>
        <v>190.00000000000006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-70.105263157895251</v>
      </c>
      <c r="AF10" s="498">
        <f t="shared" si="9"/>
        <v>0.95326315789473648</v>
      </c>
      <c r="AG10" s="615"/>
    </row>
    <row r="11" spans="1:33" ht="15.75" customHeight="1">
      <c r="A11" s="648" t="s">
        <v>7</v>
      </c>
      <c r="B11" s="29" t="s">
        <v>19</v>
      </c>
      <c r="C11" s="644" t="s">
        <v>21</v>
      </c>
      <c r="D11" s="645"/>
      <c r="E11" s="29">
        <v>39.799999999999997</v>
      </c>
      <c r="F11" s="492">
        <v>4100</v>
      </c>
      <c r="G11" s="490">
        <f t="shared" si="11"/>
        <v>163180</v>
      </c>
      <c r="H11" s="33">
        <v>2</v>
      </c>
      <c r="I11" s="493">
        <v>17</v>
      </c>
      <c r="J11" s="31">
        <v>1500</v>
      </c>
      <c r="K11" s="12">
        <f t="shared" si="1"/>
        <v>88.235294117647058</v>
      </c>
      <c r="L11" s="493">
        <v>17</v>
      </c>
      <c r="M11" s="13">
        <f t="shared" si="12"/>
        <v>1430.2325581395346</v>
      </c>
      <c r="N11" s="12">
        <f t="shared" si="3"/>
        <v>84.131326949384388</v>
      </c>
      <c r="O11" s="14">
        <f t="shared" si="4"/>
        <v>0</v>
      </c>
      <c r="P11" s="15">
        <f t="shared" si="5"/>
        <v>-4.1039671682626704</v>
      </c>
      <c r="Q11" s="498">
        <f t="shared" si="6"/>
        <v>0.95348837209302306</v>
      </c>
      <c r="R11" s="615"/>
      <c r="S11" s="34">
        <v>0.37777777777777777</v>
      </c>
      <c r="T11" s="34">
        <v>0.49722222222222223</v>
      </c>
      <c r="U11" s="490">
        <f t="shared" si="14"/>
        <v>4.9999999999999822</v>
      </c>
      <c r="V11" s="491">
        <f t="shared" si="13"/>
        <v>172.00000000000003</v>
      </c>
      <c r="W11" s="16">
        <f>T11</f>
        <v>0.49722222222222223</v>
      </c>
      <c r="X11" s="16">
        <f>S12</f>
        <v>0.53888888888888886</v>
      </c>
      <c r="Y11" s="16"/>
      <c r="Z11" s="16"/>
      <c r="AA11" s="617"/>
      <c r="AB11" s="617"/>
      <c r="AC11" s="35"/>
      <c r="AD11" s="18"/>
      <c r="AE11" s="14">
        <f t="shared" si="8"/>
        <v>-69.767441860465397</v>
      </c>
      <c r="AF11" s="498">
        <f t="shared" si="9"/>
        <v>0.95348837209302306</v>
      </c>
      <c r="AG11" s="615"/>
    </row>
    <row r="12" spans="1:33" ht="15.75" customHeight="1">
      <c r="A12" s="648" t="s">
        <v>2486</v>
      </c>
      <c r="B12" s="29" t="s">
        <v>19</v>
      </c>
      <c r="C12" s="644" t="s">
        <v>21</v>
      </c>
      <c r="D12" s="645"/>
      <c r="E12" s="29">
        <v>39.799999999999997</v>
      </c>
      <c r="F12" s="492">
        <v>3043</v>
      </c>
      <c r="G12" s="490">
        <f t="shared" si="11"/>
        <v>121111.4</v>
      </c>
      <c r="H12" s="33" t="s">
        <v>57</v>
      </c>
      <c r="I12" s="493">
        <v>17</v>
      </c>
      <c r="J12" s="31">
        <v>1500</v>
      </c>
      <c r="K12" s="12">
        <f t="shared" si="1"/>
        <v>88.235294117647058</v>
      </c>
      <c r="L12" s="493">
        <v>17</v>
      </c>
      <c r="M12" s="13">
        <f t="shared" si="12"/>
        <v>1437.6377952755902</v>
      </c>
      <c r="N12" s="12">
        <f t="shared" si="3"/>
        <v>84.566929133858252</v>
      </c>
      <c r="O12" s="14">
        <f t="shared" si="4"/>
        <v>0</v>
      </c>
      <c r="P12" s="15">
        <f t="shared" si="5"/>
        <v>-3.6683649837888055</v>
      </c>
      <c r="Q12" s="498">
        <f t="shared" si="6"/>
        <v>0.95842519685039351</v>
      </c>
      <c r="R12" s="615"/>
      <c r="S12" s="34">
        <v>0.53888888888888886</v>
      </c>
      <c r="T12" s="34">
        <v>0.62708333333333333</v>
      </c>
      <c r="U12" s="490">
        <f t="shared" si="14"/>
        <v>59.999999999999943</v>
      </c>
      <c r="V12" s="491">
        <f t="shared" si="13"/>
        <v>127.00000000000003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-62.362204724409821</v>
      </c>
      <c r="AF12" s="498">
        <f t="shared" si="9"/>
        <v>0.9584251968503934</v>
      </c>
      <c r="AG12" s="615"/>
    </row>
    <row r="13" spans="1:33" ht="16.5" customHeight="1">
      <c r="A13" s="648" t="s">
        <v>7</v>
      </c>
      <c r="B13" s="29" t="s">
        <v>2485</v>
      </c>
      <c r="C13" s="618"/>
      <c r="D13" s="618"/>
      <c r="E13" s="496"/>
      <c r="F13" s="31"/>
      <c r="G13" s="13"/>
      <c r="H13" s="492"/>
      <c r="I13" s="23">
        <v>17</v>
      </c>
      <c r="J13" s="31">
        <v>1500</v>
      </c>
      <c r="K13" s="12">
        <f t="shared" si="1"/>
        <v>88.235294117647058</v>
      </c>
      <c r="L13" s="23">
        <v>17</v>
      </c>
      <c r="M13" s="13">
        <f>AVERAGE(M9:M12)</f>
        <v>1432.5105794950005</v>
      </c>
      <c r="N13" s="12">
        <f t="shared" si="3"/>
        <v>84.265328205588261</v>
      </c>
      <c r="O13" s="14">
        <f t="shared" si="4"/>
        <v>0</v>
      </c>
      <c r="P13" s="15">
        <f t="shared" si="5"/>
        <v>-3.9699659120587967</v>
      </c>
      <c r="Q13" s="498">
        <f t="shared" si="6"/>
        <v>0.95500705299666699</v>
      </c>
      <c r="R13" s="615"/>
      <c r="S13" s="34"/>
      <c r="T13" s="34"/>
      <c r="U13" s="12"/>
      <c r="V13" s="491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-67.489420504999543</v>
      </c>
      <c r="AF13" s="498">
        <f t="shared" si="9"/>
        <v>0.95500705299666699</v>
      </c>
      <c r="AG13" s="615"/>
    </row>
    <row r="14" spans="1:33" ht="16.5" customHeight="1">
      <c r="A14" s="646" t="s">
        <v>8</v>
      </c>
      <c r="B14" s="492" t="s">
        <v>22</v>
      </c>
      <c r="C14" s="640" t="s">
        <v>23</v>
      </c>
      <c r="D14" s="640"/>
      <c r="E14" s="29">
        <v>41</v>
      </c>
      <c r="F14" s="492">
        <v>2051</v>
      </c>
      <c r="G14" s="490">
        <f t="shared" ref="G14:G20" si="15">E14*F14</f>
        <v>84091</v>
      </c>
      <c r="H14" s="33" t="s">
        <v>57</v>
      </c>
      <c r="I14" s="493">
        <v>26</v>
      </c>
      <c r="J14" s="31">
        <v>1500</v>
      </c>
      <c r="K14" s="12">
        <f t="shared" si="1"/>
        <v>57.692307692307693</v>
      </c>
      <c r="L14" s="493">
        <v>26</v>
      </c>
      <c r="M14" s="13">
        <f t="shared" ref="M14:M20" si="16">F14/V14*60</f>
        <v>1430.9302325581398</v>
      </c>
      <c r="N14" s="12">
        <f t="shared" si="3"/>
        <v>55.035778175313069</v>
      </c>
      <c r="O14" s="14">
        <f t="shared" si="4"/>
        <v>0</v>
      </c>
      <c r="P14" s="15">
        <f t="shared" si="5"/>
        <v>-2.6565295169946239</v>
      </c>
      <c r="Q14" s="498">
        <f t="shared" si="6"/>
        <v>0.95395348837209315</v>
      </c>
      <c r="R14" s="615">
        <f>Q21</f>
        <v>0.95961304678217896</v>
      </c>
      <c r="S14" s="34">
        <v>8.3333333333333329E-2</v>
      </c>
      <c r="T14" s="34">
        <v>0.14305555555555555</v>
      </c>
      <c r="U14" s="490"/>
      <c r="V14" s="491">
        <f t="shared" ref="V14:V20" si="17">(T14-S14)*24*60</f>
        <v>85.999999999999986</v>
      </c>
      <c r="W14" s="16">
        <f>T14</f>
        <v>0.14305555555555555</v>
      </c>
      <c r="X14" s="16">
        <f>S15</f>
        <v>0.16180555555555554</v>
      </c>
      <c r="Y14" s="21"/>
      <c r="Z14" s="21"/>
      <c r="AA14" s="617"/>
      <c r="AB14" s="617"/>
      <c r="AC14" s="35">
        <v>7</v>
      </c>
      <c r="AD14" s="18"/>
      <c r="AE14" s="14">
        <f t="shared" si="8"/>
        <v>-69.069767441860222</v>
      </c>
      <c r="AF14" s="498">
        <f t="shared" si="9"/>
        <v>0.95395348837209315</v>
      </c>
      <c r="AG14" s="615">
        <f>AF21</f>
        <v>0.95961304678217896</v>
      </c>
    </row>
    <row r="15" spans="1:33" ht="16.5" customHeight="1">
      <c r="A15" s="647" t="s">
        <v>2487</v>
      </c>
      <c r="B15" s="492" t="s">
        <v>22</v>
      </c>
      <c r="C15" s="640" t="s">
        <v>87</v>
      </c>
      <c r="D15" s="640"/>
      <c r="E15" s="29">
        <v>38.619999999999997</v>
      </c>
      <c r="F15" s="492">
        <v>2372</v>
      </c>
      <c r="G15" s="490">
        <f t="shared" si="15"/>
        <v>91606.64</v>
      </c>
      <c r="H15" s="33" t="s">
        <v>57</v>
      </c>
      <c r="I15" s="493">
        <v>24</v>
      </c>
      <c r="J15" s="31">
        <v>1500</v>
      </c>
      <c r="K15" s="12">
        <f t="shared" si="1"/>
        <v>62.5</v>
      </c>
      <c r="L15" s="493">
        <v>24</v>
      </c>
      <c r="M15" s="13">
        <f t="shared" si="16"/>
        <v>1437.575757575758</v>
      </c>
      <c r="N15" s="12">
        <f t="shared" si="3"/>
        <v>59.898989898989917</v>
      </c>
      <c r="O15" s="14">
        <f t="shared" si="4"/>
        <v>0</v>
      </c>
      <c r="P15" s="15">
        <f t="shared" si="5"/>
        <v>-2.6010101010100826</v>
      </c>
      <c r="Q15" s="498">
        <f t="shared" si="6"/>
        <v>0.95838383838383867</v>
      </c>
      <c r="R15" s="615"/>
      <c r="S15" s="34">
        <v>0.16180555555555554</v>
      </c>
      <c r="T15" s="34">
        <v>0.23055555555555551</v>
      </c>
      <c r="U15" s="490">
        <f t="shared" ref="U15:U20" si="18">IF(S15=TIME(17,0,0),"",(S15-T14)*24*60)</f>
        <v>26.999999999999986</v>
      </c>
      <c r="V15" s="491">
        <f t="shared" si="17"/>
        <v>98.999999999999972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-62.424242424242038</v>
      </c>
      <c r="AF15" s="498">
        <f t="shared" si="9"/>
        <v>0.95838383838383867</v>
      </c>
      <c r="AG15" s="615"/>
    </row>
    <row r="16" spans="1:33" ht="16.5" customHeight="1">
      <c r="A16" s="647" t="s">
        <v>8</v>
      </c>
      <c r="B16" s="492" t="s">
        <v>15</v>
      </c>
      <c r="C16" s="640" t="s">
        <v>86</v>
      </c>
      <c r="D16" s="640"/>
      <c r="E16" s="29">
        <v>37.03</v>
      </c>
      <c r="F16" s="492">
        <v>3223</v>
      </c>
      <c r="G16" s="490">
        <f t="shared" si="15"/>
        <v>119347.69</v>
      </c>
      <c r="H16" s="33" t="s">
        <v>57</v>
      </c>
      <c r="I16" s="493">
        <v>13</v>
      </c>
      <c r="J16" s="31">
        <v>1500</v>
      </c>
      <c r="K16" s="12">
        <f t="shared" si="1"/>
        <v>115.38461538461539</v>
      </c>
      <c r="L16" s="493">
        <v>13</v>
      </c>
      <c r="M16" s="13">
        <f t="shared" si="16"/>
        <v>1432.444444444445</v>
      </c>
      <c r="N16" s="12">
        <f t="shared" si="3"/>
        <v>110.18803418803424</v>
      </c>
      <c r="O16" s="14">
        <f t="shared" si="4"/>
        <v>0</v>
      </c>
      <c r="P16" s="15">
        <f t="shared" si="5"/>
        <v>-5.1965811965811497</v>
      </c>
      <c r="Q16" s="498">
        <f t="shared" si="6"/>
        <v>0.95496296296296335</v>
      </c>
      <c r="R16" s="615"/>
      <c r="S16" s="34">
        <v>0.23472222222222219</v>
      </c>
      <c r="T16" s="34">
        <v>0.32847222222222217</v>
      </c>
      <c r="U16" s="490">
        <f t="shared" si="18"/>
        <v>6.0000000000000187</v>
      </c>
      <c r="V16" s="491">
        <f t="shared" si="17"/>
        <v>134.99999999999994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-67.555555555554974</v>
      </c>
      <c r="AF16" s="498">
        <f t="shared" si="9"/>
        <v>0.95496296296296335</v>
      </c>
      <c r="AG16" s="615"/>
    </row>
    <row r="17" spans="1:33" ht="16.5" customHeight="1">
      <c r="A17" s="647" t="s">
        <v>2487</v>
      </c>
      <c r="B17" s="492" t="s">
        <v>19</v>
      </c>
      <c r="C17" s="640" t="s">
        <v>267</v>
      </c>
      <c r="D17" s="640"/>
      <c r="E17" s="29">
        <v>39.520000000000003</v>
      </c>
      <c r="F17" s="492">
        <v>3564</v>
      </c>
      <c r="G17" s="490">
        <f t="shared" si="15"/>
        <v>140849.28</v>
      </c>
      <c r="H17" s="33" t="s">
        <v>57</v>
      </c>
      <c r="I17" s="493">
        <v>19</v>
      </c>
      <c r="J17" s="31">
        <v>1500</v>
      </c>
      <c r="K17" s="12">
        <f t="shared" si="1"/>
        <v>78.94736842105263</v>
      </c>
      <c r="L17" s="493">
        <v>19</v>
      </c>
      <c r="M17" s="13">
        <f t="shared" si="16"/>
        <v>1435.1677852348989</v>
      </c>
      <c r="N17" s="12">
        <f t="shared" si="3"/>
        <v>75.535146591310465</v>
      </c>
      <c r="O17" s="14">
        <f t="shared" si="4"/>
        <v>0</v>
      </c>
      <c r="P17" s="15">
        <f t="shared" si="5"/>
        <v>-3.4122218297421654</v>
      </c>
      <c r="Q17" s="498">
        <f t="shared" si="6"/>
        <v>0.95677852348993253</v>
      </c>
      <c r="R17" s="615"/>
      <c r="S17" s="34">
        <v>0.33194444444444438</v>
      </c>
      <c r="T17" s="34">
        <v>0.43541666666666662</v>
      </c>
      <c r="U17" s="490">
        <f t="shared" si="18"/>
        <v>4.9999999999999822</v>
      </c>
      <c r="V17" s="491">
        <f t="shared" si="17"/>
        <v>149.00000000000003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-64.832214765101071</v>
      </c>
      <c r="AF17" s="498">
        <f t="shared" si="9"/>
        <v>0.95677852348993264</v>
      </c>
      <c r="AG17" s="615"/>
    </row>
    <row r="18" spans="1:33" ht="16.5" customHeight="1">
      <c r="A18" s="647" t="s">
        <v>8</v>
      </c>
      <c r="B18" s="492" t="s">
        <v>15</v>
      </c>
      <c r="C18" s="640" t="s">
        <v>25</v>
      </c>
      <c r="D18" s="640"/>
      <c r="E18" s="29">
        <v>53.68</v>
      </c>
      <c r="F18" s="492">
        <v>955</v>
      </c>
      <c r="G18" s="490">
        <f t="shared" si="15"/>
        <v>51264.4</v>
      </c>
      <c r="H18" s="33" t="s">
        <v>57</v>
      </c>
      <c r="I18" s="493">
        <v>16</v>
      </c>
      <c r="J18" s="31">
        <v>1500</v>
      </c>
      <c r="K18" s="12">
        <f t="shared" si="1"/>
        <v>93.75</v>
      </c>
      <c r="L18" s="493">
        <v>16</v>
      </c>
      <c r="M18" s="13">
        <f t="shared" si="16"/>
        <v>1432.4999999999995</v>
      </c>
      <c r="N18" s="12">
        <f t="shared" si="3"/>
        <v>89.531249999999972</v>
      </c>
      <c r="O18" s="14">
        <f t="shared" si="4"/>
        <v>0</v>
      </c>
      <c r="P18" s="15">
        <f t="shared" si="5"/>
        <v>-4.2187500000000284</v>
      </c>
      <c r="Q18" s="498">
        <f t="shared" si="6"/>
        <v>0.95499999999999974</v>
      </c>
      <c r="R18" s="615"/>
      <c r="S18" s="34">
        <v>0.70833333333333337</v>
      </c>
      <c r="T18" s="34">
        <v>0.73611111111111116</v>
      </c>
      <c r="U18" s="490" t="str">
        <f t="shared" si="18"/>
        <v/>
      </c>
      <c r="V18" s="491">
        <f t="shared" si="17"/>
        <v>40.000000000000014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-67.500000000000455</v>
      </c>
      <c r="AF18" s="498">
        <f t="shared" si="9"/>
        <v>0.95499999999999974</v>
      </c>
      <c r="AG18" s="615"/>
    </row>
    <row r="19" spans="1:33" ht="16.5" customHeight="1">
      <c r="A19" s="647" t="s">
        <v>2487</v>
      </c>
      <c r="B19" s="492" t="s">
        <v>15</v>
      </c>
      <c r="C19" s="502" t="s">
        <v>18</v>
      </c>
      <c r="D19" s="503"/>
      <c r="E19" s="29">
        <v>52.86</v>
      </c>
      <c r="F19" s="492">
        <v>1066</v>
      </c>
      <c r="G19" s="490">
        <f t="shared" si="15"/>
        <v>56348.76</v>
      </c>
      <c r="H19" s="33" t="s">
        <v>57</v>
      </c>
      <c r="I19" s="493">
        <v>16</v>
      </c>
      <c r="J19" s="31">
        <v>2000</v>
      </c>
      <c r="K19" s="12">
        <f t="shared" si="1"/>
        <v>125</v>
      </c>
      <c r="L19" s="493">
        <v>16</v>
      </c>
      <c r="M19" s="13">
        <f t="shared" si="16"/>
        <v>1938.1818181818157</v>
      </c>
      <c r="N19" s="12">
        <f t="shared" si="3"/>
        <v>121.13636363636348</v>
      </c>
      <c r="O19" s="14">
        <f t="shared" si="4"/>
        <v>0</v>
      </c>
      <c r="P19" s="15">
        <f t="shared" si="5"/>
        <v>-3.8636363636365161</v>
      </c>
      <c r="Q19" s="498">
        <f t="shared" si="6"/>
        <v>0.96909090909090789</v>
      </c>
      <c r="R19" s="615"/>
      <c r="S19" s="34">
        <v>0.7416666666666667</v>
      </c>
      <c r="T19" s="34">
        <v>0.76458333333333339</v>
      </c>
      <c r="U19" s="490">
        <f t="shared" si="18"/>
        <v>7.9999999999999716</v>
      </c>
      <c r="V19" s="491">
        <f t="shared" si="17"/>
        <v>33.000000000000043</v>
      </c>
      <c r="W19" s="16"/>
      <c r="X19" s="16"/>
      <c r="Y19" s="19"/>
      <c r="Z19" s="19"/>
      <c r="AA19" s="494"/>
      <c r="AB19" s="495"/>
      <c r="AC19" s="35"/>
      <c r="AD19" s="18"/>
      <c r="AE19" s="14">
        <f t="shared" si="8"/>
        <v>-61.818181818184257</v>
      </c>
      <c r="AF19" s="498">
        <f t="shared" si="9"/>
        <v>0.96909090909090789</v>
      </c>
      <c r="AG19" s="615"/>
    </row>
    <row r="20" spans="1:33" ht="16.5" customHeight="1">
      <c r="A20" s="647" t="s">
        <v>8</v>
      </c>
      <c r="B20" s="492" t="s">
        <v>15</v>
      </c>
      <c r="C20" s="502" t="s">
        <v>16</v>
      </c>
      <c r="D20" s="503"/>
      <c r="E20" s="29">
        <v>50.67</v>
      </c>
      <c r="F20" s="492">
        <v>1543</v>
      </c>
      <c r="G20" s="490">
        <f t="shared" si="15"/>
        <v>78183.81</v>
      </c>
      <c r="H20" s="33" t="s">
        <v>57</v>
      </c>
      <c r="I20" s="493">
        <v>17</v>
      </c>
      <c r="J20" s="31">
        <v>2000</v>
      </c>
      <c r="K20" s="12">
        <f t="shared" si="1"/>
        <v>117.64705882352941</v>
      </c>
      <c r="L20" s="493">
        <v>17</v>
      </c>
      <c r="M20" s="13">
        <f t="shared" si="16"/>
        <v>1928.7500000000005</v>
      </c>
      <c r="N20" s="12">
        <f t="shared" si="3"/>
        <v>113.4558823529412</v>
      </c>
      <c r="O20" s="14">
        <f t="shared" si="4"/>
        <v>0</v>
      </c>
      <c r="P20" s="15">
        <f t="shared" si="5"/>
        <v>-4.1911764705882035</v>
      </c>
      <c r="Q20" s="498">
        <f t="shared" si="6"/>
        <v>0.96437500000000032</v>
      </c>
      <c r="R20" s="615"/>
      <c r="S20" s="34">
        <v>0.76875000000000004</v>
      </c>
      <c r="T20" s="34">
        <v>0.80208333333333337</v>
      </c>
      <c r="U20" s="490">
        <f t="shared" si="18"/>
        <v>5.9999999999999787</v>
      </c>
      <c r="V20" s="491">
        <f t="shared" si="17"/>
        <v>47.999999999999986</v>
      </c>
      <c r="W20" s="16"/>
      <c r="X20" s="16"/>
      <c r="Y20" s="19"/>
      <c r="Z20" s="19"/>
      <c r="AA20" s="494"/>
      <c r="AB20" s="495"/>
      <c r="AC20" s="35"/>
      <c r="AD20" s="18"/>
      <c r="AE20" s="14">
        <f t="shared" si="8"/>
        <v>-71.249999999999545</v>
      </c>
      <c r="AF20" s="498">
        <f t="shared" si="9"/>
        <v>0.9643750000000002</v>
      </c>
      <c r="AG20" s="615"/>
    </row>
    <row r="21" spans="1:33" ht="16.5" customHeight="1">
      <c r="A21" s="647" t="s">
        <v>2487</v>
      </c>
      <c r="B21" s="29" t="s">
        <v>6</v>
      </c>
      <c r="C21" s="618"/>
      <c r="D21" s="618"/>
      <c r="E21" s="496"/>
      <c r="F21" s="30"/>
      <c r="G21" s="12"/>
      <c r="H21" s="492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1576.5071482850083</v>
      </c>
      <c r="N21" s="12">
        <f t="shared" si="3"/>
        <v>84.2408399846951</v>
      </c>
      <c r="O21" s="14">
        <f t="shared" si="4"/>
        <v>0</v>
      </c>
      <c r="P21" s="15">
        <f t="shared" si="5"/>
        <v>-3.5454195572896339</v>
      </c>
      <c r="Q21" s="498">
        <f t="shared" si="6"/>
        <v>0.95961304678217896</v>
      </c>
      <c r="R21" s="615"/>
      <c r="S21" s="34"/>
      <c r="T21" s="34"/>
      <c r="U21" s="490"/>
      <c r="V21" s="491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-66.349994572134619</v>
      </c>
      <c r="AF21" s="498">
        <f t="shared" si="9"/>
        <v>0.95961304678217896</v>
      </c>
      <c r="AG21" s="615"/>
    </row>
    <row r="22" spans="1:33" ht="15.75" customHeight="1">
      <c r="A22" s="642" t="s">
        <v>2488</v>
      </c>
      <c r="B22" s="29" t="s">
        <v>15</v>
      </c>
      <c r="C22" s="640" t="s">
        <v>28</v>
      </c>
      <c r="D22" s="640"/>
      <c r="E22" s="29">
        <v>50.67</v>
      </c>
      <c r="F22" s="492">
        <v>1760</v>
      </c>
      <c r="G22" s="490">
        <f t="shared" ref="G22:G27" si="19">E22*F22</f>
        <v>89179.199999999997</v>
      </c>
      <c r="H22" s="33" t="s">
        <v>57</v>
      </c>
      <c r="I22" s="493">
        <v>17</v>
      </c>
      <c r="J22" s="31">
        <v>2000</v>
      </c>
      <c r="K22" s="12">
        <f t="shared" si="1"/>
        <v>117.64705882352941</v>
      </c>
      <c r="L22" s="493">
        <v>17</v>
      </c>
      <c r="M22" s="13">
        <f t="shared" ref="M22:M27" si="20">F22/V22*60</f>
        <v>1919.9999999999998</v>
      </c>
      <c r="N22" s="12">
        <f t="shared" si="3"/>
        <v>112.94117647058822</v>
      </c>
      <c r="O22" s="14">
        <f t="shared" si="4"/>
        <v>0</v>
      </c>
      <c r="P22" s="15">
        <f t="shared" si="5"/>
        <v>-4.7058823529411882</v>
      </c>
      <c r="Q22" s="498">
        <f t="shared" si="6"/>
        <v>0.95999999999999985</v>
      </c>
      <c r="R22" s="615">
        <f>Q28</f>
        <v>0.95948153335622022</v>
      </c>
      <c r="S22" s="34">
        <v>0.20833333333333334</v>
      </c>
      <c r="T22" s="34">
        <v>0.24652777777777779</v>
      </c>
      <c r="U22" s="490"/>
      <c r="V22" s="491">
        <f t="shared" ref="V22:V27" si="21">(T22-S22)*24*60</f>
        <v>55.000000000000007</v>
      </c>
      <c r="W22" s="21"/>
      <c r="X22" s="21"/>
      <c r="Y22" s="21"/>
      <c r="Z22" s="21"/>
      <c r="AA22" s="617"/>
      <c r="AB22" s="617"/>
      <c r="AC22" s="35">
        <v>6</v>
      </c>
      <c r="AD22" s="18"/>
      <c r="AE22" s="14">
        <f t="shared" si="8"/>
        <v>-80.000000000000227</v>
      </c>
      <c r="AF22" s="498">
        <f t="shared" si="9"/>
        <v>0.95999999999999985</v>
      </c>
      <c r="AG22" s="615">
        <f>AF28</f>
        <v>0.95948153335622022</v>
      </c>
    </row>
    <row r="23" spans="1:33" ht="15.75" customHeight="1">
      <c r="A23" s="643" t="s">
        <v>2488</v>
      </c>
      <c r="B23" s="29" t="s">
        <v>15</v>
      </c>
      <c r="C23" s="640" t="s">
        <v>29</v>
      </c>
      <c r="D23" s="640"/>
      <c r="E23" s="29">
        <v>57.73</v>
      </c>
      <c r="F23" s="492">
        <v>2276</v>
      </c>
      <c r="G23" s="490">
        <f t="shared" si="19"/>
        <v>131393.47999999998</v>
      </c>
      <c r="H23" s="33" t="s">
        <v>57</v>
      </c>
      <c r="I23" s="493">
        <v>14</v>
      </c>
      <c r="J23" s="31">
        <v>2000</v>
      </c>
      <c r="K23" s="12">
        <f t="shared" si="1"/>
        <v>142.85714285714286</v>
      </c>
      <c r="L23" s="493">
        <v>14</v>
      </c>
      <c r="M23" s="13">
        <f t="shared" si="20"/>
        <v>1923.3802816901414</v>
      </c>
      <c r="N23" s="12">
        <f t="shared" si="3"/>
        <v>137.38430583501011</v>
      </c>
      <c r="O23" s="14">
        <f t="shared" si="4"/>
        <v>0</v>
      </c>
      <c r="P23" s="15">
        <f t="shared" si="5"/>
        <v>-5.4728370221327509</v>
      </c>
      <c r="Q23" s="498">
        <f t="shared" si="6"/>
        <v>0.96169014084507076</v>
      </c>
      <c r="R23" s="615"/>
      <c r="S23" s="34">
        <v>0.25069444444444444</v>
      </c>
      <c r="T23" s="34">
        <v>0.3</v>
      </c>
      <c r="U23" s="490">
        <f t="shared" ref="U23:U27" si="22">IF(S23=TIME(17,0,0),"",(S23-T22)*24*60)</f>
        <v>5.9999999999999787</v>
      </c>
      <c r="V23" s="491">
        <f t="shared" si="21"/>
        <v>70.999999999999986</v>
      </c>
      <c r="W23" s="16"/>
      <c r="X23" s="490"/>
      <c r="Y23" s="490"/>
      <c r="Z23" s="490"/>
      <c r="AA23" s="617"/>
      <c r="AB23" s="617"/>
      <c r="AC23" s="35"/>
      <c r="AD23" s="18"/>
      <c r="AE23" s="14">
        <f t="shared" si="8"/>
        <v>-76.619718309858627</v>
      </c>
      <c r="AF23" s="498">
        <f t="shared" si="9"/>
        <v>0.96169014084507065</v>
      </c>
      <c r="AG23" s="615"/>
    </row>
    <row r="24" spans="1:33" ht="15.75" customHeight="1">
      <c r="A24" s="643" t="s">
        <v>9</v>
      </c>
      <c r="B24" s="29" t="s">
        <v>15</v>
      </c>
      <c r="C24" s="640" t="s">
        <v>80</v>
      </c>
      <c r="D24" s="640"/>
      <c r="E24" s="29">
        <v>53.27</v>
      </c>
      <c r="F24" s="492">
        <v>1564</v>
      </c>
      <c r="G24" s="490">
        <f t="shared" si="19"/>
        <v>83314.28</v>
      </c>
      <c r="H24" s="33" t="s">
        <v>57</v>
      </c>
      <c r="I24" s="493">
        <v>16</v>
      </c>
      <c r="J24" s="31">
        <v>2000</v>
      </c>
      <c r="K24" s="12">
        <f t="shared" si="1"/>
        <v>125</v>
      </c>
      <c r="L24" s="493">
        <v>16</v>
      </c>
      <c r="M24" s="13">
        <f t="shared" si="20"/>
        <v>1915.102040816327</v>
      </c>
      <c r="N24" s="12">
        <f t="shared" si="3"/>
        <v>119.69387755102044</v>
      </c>
      <c r="O24" s="14">
        <f t="shared" si="4"/>
        <v>0</v>
      </c>
      <c r="P24" s="15">
        <f t="shared" si="5"/>
        <v>-5.3061224489795649</v>
      </c>
      <c r="Q24" s="498">
        <f t="shared" si="6"/>
        <v>0.95755102040816353</v>
      </c>
      <c r="R24" s="615"/>
      <c r="S24" s="34">
        <v>0.30486111111111108</v>
      </c>
      <c r="T24" s="34">
        <v>0.33888888888888885</v>
      </c>
      <c r="U24" s="490">
        <f t="shared" si="22"/>
        <v>6.9999999999999751</v>
      </c>
      <c r="V24" s="491">
        <f t="shared" si="21"/>
        <v>48.999999999999986</v>
      </c>
      <c r="W24" s="16"/>
      <c r="X24" s="490"/>
      <c r="Y24" s="490"/>
      <c r="Z24" s="490"/>
      <c r="AA24" s="617"/>
      <c r="AB24" s="617"/>
      <c r="AC24" s="35"/>
      <c r="AD24" s="18"/>
      <c r="AE24" s="14">
        <f t="shared" si="8"/>
        <v>-84.897959183673038</v>
      </c>
      <c r="AF24" s="498">
        <f t="shared" si="9"/>
        <v>0.95755102040816353</v>
      </c>
      <c r="AG24" s="615"/>
    </row>
    <row r="25" spans="1:33" ht="15.75" customHeight="1">
      <c r="A25" s="643" t="s">
        <v>9</v>
      </c>
      <c r="B25" s="29" t="s">
        <v>15</v>
      </c>
      <c r="C25" s="640" t="s">
        <v>1472</v>
      </c>
      <c r="D25" s="640"/>
      <c r="E25" s="29">
        <v>51.44</v>
      </c>
      <c r="F25" s="492">
        <v>1310</v>
      </c>
      <c r="G25" s="490">
        <f t="shared" si="19"/>
        <v>67386.399999999994</v>
      </c>
      <c r="H25" s="33" t="s">
        <v>57</v>
      </c>
      <c r="I25" s="493">
        <v>25</v>
      </c>
      <c r="J25" s="31">
        <v>2000</v>
      </c>
      <c r="K25" s="12">
        <f t="shared" si="1"/>
        <v>80</v>
      </c>
      <c r="L25" s="493">
        <v>25</v>
      </c>
      <c r="M25" s="13">
        <f t="shared" si="20"/>
        <v>1917.0731707317066</v>
      </c>
      <c r="N25" s="12">
        <f t="shared" si="3"/>
        <v>76.682926829268268</v>
      </c>
      <c r="O25" s="14">
        <f t="shared" si="4"/>
        <v>0</v>
      </c>
      <c r="P25" s="15">
        <f t="shared" si="5"/>
        <v>-3.3170731707317316</v>
      </c>
      <c r="Q25" s="498">
        <f t="shared" si="6"/>
        <v>0.9585365853658534</v>
      </c>
      <c r="R25" s="615"/>
      <c r="S25" s="34">
        <v>0.34444444444444439</v>
      </c>
      <c r="T25" s="34">
        <v>0.37291666666666662</v>
      </c>
      <c r="U25" s="490">
        <f t="shared" si="22"/>
        <v>7.9999999999999716</v>
      </c>
      <c r="V25" s="491">
        <f t="shared" si="21"/>
        <v>41.000000000000014</v>
      </c>
      <c r="W25" s="16"/>
      <c r="X25" s="490"/>
      <c r="Y25" s="490"/>
      <c r="Z25" s="490"/>
      <c r="AA25" s="617"/>
      <c r="AB25" s="617"/>
      <c r="AC25" s="35"/>
      <c r="AD25" s="18"/>
      <c r="AE25" s="14">
        <f t="shared" si="8"/>
        <v>-82.926829268293432</v>
      </c>
      <c r="AF25" s="498">
        <f t="shared" si="9"/>
        <v>0.95853658536585329</v>
      </c>
      <c r="AG25" s="615"/>
    </row>
    <row r="26" spans="1:33" ht="15.75" customHeight="1">
      <c r="A26" s="643" t="s">
        <v>9</v>
      </c>
      <c r="B26" s="29" t="s">
        <v>15</v>
      </c>
      <c r="C26" s="640" t="s">
        <v>30</v>
      </c>
      <c r="D26" s="640"/>
      <c r="E26" s="29">
        <v>50.49</v>
      </c>
      <c r="F26" s="492">
        <v>1894</v>
      </c>
      <c r="G26" s="490">
        <f t="shared" si="19"/>
        <v>95628.06</v>
      </c>
      <c r="H26" s="33" t="s">
        <v>57</v>
      </c>
      <c r="I26" s="493">
        <v>15</v>
      </c>
      <c r="J26" s="31">
        <v>2000</v>
      </c>
      <c r="K26" s="12">
        <f t="shared" si="1"/>
        <v>133.33333333333334</v>
      </c>
      <c r="L26" s="493">
        <v>15</v>
      </c>
      <c r="M26" s="13">
        <f t="shared" si="20"/>
        <v>1926.1016949152558</v>
      </c>
      <c r="N26" s="12">
        <f t="shared" si="3"/>
        <v>128.40677966101705</v>
      </c>
      <c r="O26" s="14">
        <f t="shared" si="4"/>
        <v>0</v>
      </c>
      <c r="P26" s="15">
        <f t="shared" si="5"/>
        <v>-4.9265536723162882</v>
      </c>
      <c r="Q26" s="498">
        <f t="shared" si="6"/>
        <v>0.96305084745762781</v>
      </c>
      <c r="R26" s="615"/>
      <c r="S26" s="34">
        <v>0.70833333333333337</v>
      </c>
      <c r="T26" s="34">
        <v>0.74930555555555556</v>
      </c>
      <c r="U26" s="490" t="str">
        <f t="shared" si="22"/>
        <v/>
      </c>
      <c r="V26" s="491">
        <f t="shared" si="21"/>
        <v>58.99999999999995</v>
      </c>
      <c r="W26" s="16"/>
      <c r="X26" s="16"/>
      <c r="Y26" s="490"/>
      <c r="Z26" s="490"/>
      <c r="AA26" s="617"/>
      <c r="AB26" s="617"/>
      <c r="AC26" s="35"/>
      <c r="AD26" s="18"/>
      <c r="AE26" s="14">
        <f t="shared" si="8"/>
        <v>-73.898305084744152</v>
      </c>
      <c r="AF26" s="498">
        <f t="shared" si="9"/>
        <v>0.96305084745762792</v>
      </c>
      <c r="AG26" s="615"/>
    </row>
    <row r="27" spans="1:33" ht="15.75" customHeight="1">
      <c r="A27" s="643" t="s">
        <v>2488</v>
      </c>
      <c r="B27" s="29" t="s">
        <v>15</v>
      </c>
      <c r="C27" s="640" t="s">
        <v>82</v>
      </c>
      <c r="D27" s="640"/>
      <c r="E27" s="29">
        <v>51.06</v>
      </c>
      <c r="F27" s="492">
        <v>3155</v>
      </c>
      <c r="G27" s="490">
        <f t="shared" si="19"/>
        <v>161094.30000000002</v>
      </c>
      <c r="H27" s="33" t="s">
        <v>57</v>
      </c>
      <c r="I27" s="493">
        <v>13</v>
      </c>
      <c r="J27" s="31">
        <v>2000</v>
      </c>
      <c r="K27" s="12">
        <f t="shared" si="1"/>
        <v>153.84615384615384</v>
      </c>
      <c r="L27" s="493">
        <v>13</v>
      </c>
      <c r="M27" s="13">
        <f t="shared" si="20"/>
        <v>1912.1212121212127</v>
      </c>
      <c r="N27" s="12">
        <f t="shared" si="3"/>
        <v>147.08624708624714</v>
      </c>
      <c r="O27" s="14">
        <f t="shared" si="4"/>
        <v>0</v>
      </c>
      <c r="P27" s="15">
        <f t="shared" si="5"/>
        <v>-6.7599067599066984</v>
      </c>
      <c r="Q27" s="498">
        <f t="shared" si="6"/>
        <v>0.9560606060606065</v>
      </c>
      <c r="R27" s="615"/>
      <c r="S27" s="34">
        <v>0.75416666666666665</v>
      </c>
      <c r="T27" s="34">
        <v>0.82291666666666663</v>
      </c>
      <c r="U27" s="490">
        <f t="shared" si="22"/>
        <v>6.9999999999999751</v>
      </c>
      <c r="V27" s="491">
        <f t="shared" si="21"/>
        <v>98.999999999999972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-87.878787878787307</v>
      </c>
      <c r="AF27" s="498">
        <f t="shared" si="9"/>
        <v>0.95606060606060639</v>
      </c>
      <c r="AG27" s="615"/>
    </row>
    <row r="28" spans="1:33" ht="15.75" customHeight="1">
      <c r="A28" s="643" t="s">
        <v>9</v>
      </c>
      <c r="B28" s="29" t="s">
        <v>6</v>
      </c>
      <c r="C28" s="618"/>
      <c r="D28" s="618"/>
      <c r="E28" s="496"/>
      <c r="F28" s="492"/>
      <c r="G28" s="490"/>
      <c r="H28" s="492"/>
      <c r="I28" s="23">
        <v>16.666666666666668</v>
      </c>
      <c r="J28" s="31">
        <v>2000</v>
      </c>
      <c r="K28" s="12">
        <f t="shared" si="1"/>
        <v>119.99999999999999</v>
      </c>
      <c r="L28" s="23">
        <v>16.666666666666668</v>
      </c>
      <c r="M28" s="13">
        <f>AVERAGE(M22:M27)</f>
        <v>1918.9630667124404</v>
      </c>
      <c r="N28" s="12">
        <f t="shared" si="3"/>
        <v>115.13778400274641</v>
      </c>
      <c r="O28" s="14">
        <f t="shared" si="4"/>
        <v>0</v>
      </c>
      <c r="P28" s="15">
        <f t="shared" si="5"/>
        <v>-4.8622159972535712</v>
      </c>
      <c r="Q28" s="498">
        <f t="shared" si="6"/>
        <v>0.95948153335622022</v>
      </c>
      <c r="R28" s="615"/>
      <c r="S28" s="34"/>
      <c r="T28" s="34"/>
      <c r="U28" s="12"/>
      <c r="V28" s="491"/>
      <c r="W28" s="12"/>
      <c r="X28" s="12"/>
      <c r="Y28" s="24">
        <f>SUM(Y22:Y27)</f>
        <v>0</v>
      </c>
      <c r="Z28" s="24">
        <f>SUM(Z22:Z27)</f>
        <v>0</v>
      </c>
      <c r="AA28" s="614"/>
      <c r="AB28" s="614"/>
      <c r="AC28" s="24">
        <v>6</v>
      </c>
      <c r="AD28" s="24">
        <f>SUM(AD22:AD27)</f>
        <v>0</v>
      </c>
      <c r="AE28" s="14">
        <f t="shared" si="8"/>
        <v>-81.036933287559577</v>
      </c>
      <c r="AF28" s="498">
        <f t="shared" si="9"/>
        <v>0.95948153335622022</v>
      </c>
      <c r="AG28" s="615"/>
    </row>
    <row r="29" spans="1:33" ht="15.75" customHeight="1">
      <c r="A29" s="641" t="s">
        <v>10</v>
      </c>
      <c r="B29" s="29" t="s">
        <v>32</v>
      </c>
      <c r="C29" s="640" t="s">
        <v>33</v>
      </c>
      <c r="D29" s="640"/>
      <c r="E29" s="29">
        <v>31.29</v>
      </c>
      <c r="F29" s="492">
        <v>7678</v>
      </c>
      <c r="G29" s="490">
        <f t="shared" ref="G29:G34" si="23">E29*F29</f>
        <v>240244.62</v>
      </c>
      <c r="H29" s="33" t="s">
        <v>57</v>
      </c>
      <c r="I29" s="493">
        <v>18</v>
      </c>
      <c r="J29" s="31">
        <v>2400</v>
      </c>
      <c r="K29" s="12">
        <f t="shared" si="1"/>
        <v>133.33333333333334</v>
      </c>
      <c r="L29" s="493">
        <v>18</v>
      </c>
      <c r="M29" s="13">
        <f t="shared" ref="M29:M34" si="24">F29/V29*60</f>
        <v>2291.940298507463</v>
      </c>
      <c r="N29" s="12">
        <f t="shared" si="3"/>
        <v>127.33001658374795</v>
      </c>
      <c r="O29" s="14">
        <f t="shared" si="4"/>
        <v>0</v>
      </c>
      <c r="P29" s="15">
        <f t="shared" si="5"/>
        <v>-6.0033167495853945</v>
      </c>
      <c r="Q29" s="498">
        <f t="shared" si="6"/>
        <v>0.9549751243781095</v>
      </c>
      <c r="R29" s="615">
        <f>Q35</f>
        <v>0.95497798551044943</v>
      </c>
      <c r="S29" s="34">
        <v>8.3333333333333329E-2</v>
      </c>
      <c r="T29" s="34">
        <v>0.22291666666666665</v>
      </c>
      <c r="U29" s="490"/>
      <c r="V29" s="491">
        <f t="shared" ref="V29:V34" si="25">(T29-S29)*24*60</f>
        <v>201</v>
      </c>
      <c r="W29" s="16">
        <f>T29</f>
        <v>0.22291666666666665</v>
      </c>
      <c r="X29" s="16">
        <f>S30</f>
        <v>0.24236111111111111</v>
      </c>
      <c r="Y29" s="16"/>
      <c r="Z29" s="16"/>
      <c r="AA29" s="617"/>
      <c r="AB29" s="617"/>
      <c r="AC29" s="35">
        <v>6</v>
      </c>
      <c r="AD29" s="18"/>
      <c r="AE29" s="14">
        <f t="shared" si="8"/>
        <v>-108.05970149253699</v>
      </c>
      <c r="AF29" s="498">
        <f t="shared" si="9"/>
        <v>0.95497512437810961</v>
      </c>
      <c r="AG29" s="615">
        <f>AF35</f>
        <v>0.95497798551044943</v>
      </c>
    </row>
    <row r="30" spans="1:33" ht="15.75" customHeight="1">
      <c r="A30" s="641" t="s">
        <v>2489</v>
      </c>
      <c r="B30" s="29" t="s">
        <v>32</v>
      </c>
      <c r="C30" s="640" t="s">
        <v>34</v>
      </c>
      <c r="D30" s="640"/>
      <c r="E30" s="29">
        <v>26.37</v>
      </c>
      <c r="F30" s="492">
        <v>5195</v>
      </c>
      <c r="G30" s="490">
        <f t="shared" si="23"/>
        <v>136992.15</v>
      </c>
      <c r="H30" s="33" t="s">
        <v>57</v>
      </c>
      <c r="I30" s="493">
        <v>18</v>
      </c>
      <c r="J30" s="31">
        <v>2400</v>
      </c>
      <c r="K30" s="12">
        <f t="shared" si="1"/>
        <v>133.33333333333334</v>
      </c>
      <c r="L30" s="493">
        <v>18</v>
      </c>
      <c r="M30" s="13">
        <f t="shared" si="24"/>
        <v>2291.9117647058815</v>
      </c>
      <c r="N30" s="12">
        <f t="shared" si="3"/>
        <v>127.32843137254898</v>
      </c>
      <c r="O30" s="14">
        <f t="shared" si="4"/>
        <v>0</v>
      </c>
      <c r="P30" s="15">
        <f t="shared" si="5"/>
        <v>-6.0049019607843661</v>
      </c>
      <c r="Q30" s="498">
        <f t="shared" si="6"/>
        <v>0.95496323529411731</v>
      </c>
      <c r="R30" s="615"/>
      <c r="S30" s="34">
        <v>0.24236111111111111</v>
      </c>
      <c r="T30" s="34">
        <v>0.33680555555555558</v>
      </c>
      <c r="U30" s="490">
        <f t="shared" ref="U30:U34" si="26">(S30-T29)*24*60</f>
        <v>28.000000000000021</v>
      </c>
      <c r="V30" s="491">
        <f t="shared" si="25"/>
        <v>136.00000000000006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-108.08823529411848</v>
      </c>
      <c r="AF30" s="498">
        <f t="shared" si="9"/>
        <v>0.95496323529411731</v>
      </c>
      <c r="AG30" s="615"/>
    </row>
    <row r="31" spans="1:33" ht="15.75" customHeight="1">
      <c r="A31" s="641" t="s">
        <v>10</v>
      </c>
      <c r="B31" s="29" t="s">
        <v>32</v>
      </c>
      <c r="C31" s="640" t="s">
        <v>76</v>
      </c>
      <c r="D31" s="640"/>
      <c r="E31" s="29">
        <v>26.18</v>
      </c>
      <c r="F31" s="492">
        <v>3800</v>
      </c>
      <c r="G31" s="490">
        <f t="shared" si="23"/>
        <v>99484</v>
      </c>
      <c r="H31" s="33">
        <v>2</v>
      </c>
      <c r="I31" s="493">
        <v>18</v>
      </c>
      <c r="J31" s="31">
        <v>2400</v>
      </c>
      <c r="K31" s="12">
        <f t="shared" si="1"/>
        <v>133.33333333333334</v>
      </c>
      <c r="L31" s="493">
        <v>18</v>
      </c>
      <c r="M31" s="13">
        <f t="shared" si="24"/>
        <v>2280.0000000000009</v>
      </c>
      <c r="N31" s="12">
        <f t="shared" si="3"/>
        <v>126.66666666666671</v>
      </c>
      <c r="O31" s="14">
        <f t="shared" si="4"/>
        <v>0</v>
      </c>
      <c r="P31" s="15">
        <f t="shared" si="5"/>
        <v>-6.6666666666666288</v>
      </c>
      <c r="Q31" s="498">
        <f t="shared" si="6"/>
        <v>0.95000000000000029</v>
      </c>
      <c r="R31" s="615"/>
      <c r="S31" s="34">
        <v>0.34097222222222223</v>
      </c>
      <c r="T31" s="34">
        <v>0.41041666666666665</v>
      </c>
      <c r="U31" s="490">
        <f t="shared" si="26"/>
        <v>5.9999999999999787</v>
      </c>
      <c r="V31" s="491">
        <f t="shared" si="25"/>
        <v>99.999999999999972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-119.99999999999909</v>
      </c>
      <c r="AF31" s="498">
        <f t="shared" si="9"/>
        <v>0.9500000000000004</v>
      </c>
      <c r="AG31" s="615"/>
    </row>
    <row r="32" spans="1:33" ht="15.75" customHeight="1">
      <c r="A32" s="641" t="s">
        <v>10</v>
      </c>
      <c r="B32" s="29" t="s">
        <v>32</v>
      </c>
      <c r="C32" s="640" t="s">
        <v>79</v>
      </c>
      <c r="D32" s="640"/>
      <c r="E32" s="29">
        <v>25.99</v>
      </c>
      <c r="F32" s="492">
        <v>1271</v>
      </c>
      <c r="G32" s="490">
        <f t="shared" si="23"/>
        <v>33033.29</v>
      </c>
      <c r="H32" s="33" t="s">
        <v>57</v>
      </c>
      <c r="I32" s="493">
        <v>18</v>
      </c>
      <c r="J32" s="31">
        <v>2400</v>
      </c>
      <c r="K32" s="12">
        <f t="shared" si="1"/>
        <v>133.33333333333334</v>
      </c>
      <c r="L32" s="493">
        <v>18</v>
      </c>
      <c r="M32" s="13">
        <f t="shared" si="24"/>
        <v>2310.9090909090878</v>
      </c>
      <c r="N32" s="12">
        <f t="shared" si="3"/>
        <v>128.38383838383822</v>
      </c>
      <c r="O32" s="14">
        <f t="shared" si="4"/>
        <v>0</v>
      </c>
      <c r="P32" s="15">
        <f t="shared" si="5"/>
        <v>-4.9494949494951186</v>
      </c>
      <c r="Q32" s="498">
        <f t="shared" si="6"/>
        <v>0.96287878787878667</v>
      </c>
      <c r="R32" s="615"/>
      <c r="S32" s="34">
        <v>0.4145833333333333</v>
      </c>
      <c r="T32" s="34">
        <v>0.4375</v>
      </c>
      <c r="U32" s="490">
        <f t="shared" si="26"/>
        <v>5.9999999999999787</v>
      </c>
      <c r="V32" s="491">
        <f t="shared" si="25"/>
        <v>33.000000000000043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-89.090909090912191</v>
      </c>
      <c r="AF32" s="498">
        <f t="shared" si="9"/>
        <v>0.96287878787878656</v>
      </c>
      <c r="AG32" s="615"/>
    </row>
    <row r="33" spans="1:33" ht="15.75" customHeight="1">
      <c r="A33" s="641" t="s">
        <v>10</v>
      </c>
      <c r="B33" s="29" t="s">
        <v>32</v>
      </c>
      <c r="C33" s="640" t="s">
        <v>35</v>
      </c>
      <c r="D33" s="640"/>
      <c r="E33" s="29">
        <v>25.99</v>
      </c>
      <c r="F33" s="492">
        <v>3240</v>
      </c>
      <c r="G33" s="490">
        <f t="shared" si="23"/>
        <v>84207.599999999991</v>
      </c>
      <c r="H33" s="33" t="s">
        <v>57</v>
      </c>
      <c r="I33" s="493">
        <v>14</v>
      </c>
      <c r="J33" s="31">
        <v>2400</v>
      </c>
      <c r="K33" s="12">
        <f t="shared" si="1"/>
        <v>171.42857142857142</v>
      </c>
      <c r="L33" s="493">
        <v>14</v>
      </c>
      <c r="M33" s="13">
        <f t="shared" si="24"/>
        <v>2287.0588235294113</v>
      </c>
      <c r="N33" s="12">
        <f t="shared" si="3"/>
        <v>163.36134453781509</v>
      </c>
      <c r="O33" s="14">
        <f t="shared" si="4"/>
        <v>0</v>
      </c>
      <c r="P33" s="15">
        <f t="shared" si="5"/>
        <v>-8.0672268907563307</v>
      </c>
      <c r="Q33" s="498">
        <f t="shared" si="6"/>
        <v>0.95294117647058807</v>
      </c>
      <c r="R33" s="615"/>
      <c r="S33" s="34">
        <v>0.44097222222222221</v>
      </c>
      <c r="T33" s="34">
        <v>0.5</v>
      </c>
      <c r="U33" s="490">
        <f t="shared" si="26"/>
        <v>4.9999999999999822</v>
      </c>
      <c r="V33" s="491">
        <f t="shared" si="25"/>
        <v>85.000000000000014</v>
      </c>
      <c r="W33" s="16">
        <f>T33</f>
        <v>0.5</v>
      </c>
      <c r="X33" s="16">
        <f>S34</f>
        <v>0.53888888888888886</v>
      </c>
      <c r="Y33" s="16"/>
      <c r="Z33" s="16"/>
      <c r="AA33" s="617"/>
      <c r="AB33" s="617"/>
      <c r="AC33" s="35"/>
      <c r="AD33" s="18"/>
      <c r="AE33" s="14">
        <f t="shared" si="8"/>
        <v>-112.94117647058874</v>
      </c>
      <c r="AF33" s="498">
        <f t="shared" si="9"/>
        <v>0.95294117647058807</v>
      </c>
      <c r="AG33" s="615"/>
    </row>
    <row r="34" spans="1:33" ht="15.75" customHeight="1">
      <c r="A34" s="641" t="s">
        <v>2489</v>
      </c>
      <c r="B34" s="29" t="s">
        <v>32</v>
      </c>
      <c r="C34" s="640" t="s">
        <v>76</v>
      </c>
      <c r="D34" s="640"/>
      <c r="E34" s="29">
        <v>26.18</v>
      </c>
      <c r="F34" s="492">
        <v>2786</v>
      </c>
      <c r="G34" s="490">
        <f t="shared" si="23"/>
        <v>72937.48</v>
      </c>
      <c r="H34" s="33" t="s">
        <v>57</v>
      </c>
      <c r="I34" s="493">
        <v>18</v>
      </c>
      <c r="J34" s="31">
        <v>2400</v>
      </c>
      <c r="K34" s="12">
        <f t="shared" si="1"/>
        <v>133.33333333333334</v>
      </c>
      <c r="L34" s="493">
        <v>18</v>
      </c>
      <c r="M34" s="13">
        <f t="shared" si="24"/>
        <v>2289.863013698628</v>
      </c>
      <c r="N34" s="12">
        <f t="shared" si="3"/>
        <v>127.21461187214601</v>
      </c>
      <c r="O34" s="14">
        <f t="shared" si="4"/>
        <v>0</v>
      </c>
      <c r="P34" s="15">
        <f t="shared" si="5"/>
        <v>-6.1187214611873344</v>
      </c>
      <c r="Q34" s="498">
        <f t="shared" si="6"/>
        <v>0.954109589041095</v>
      </c>
      <c r="R34" s="615"/>
      <c r="S34" s="34">
        <v>0.53888888888888886</v>
      </c>
      <c r="T34" s="34">
        <v>0.58958333333333335</v>
      </c>
      <c r="U34" s="490">
        <f t="shared" si="26"/>
        <v>55.999999999999957</v>
      </c>
      <c r="V34" s="491">
        <f t="shared" si="25"/>
        <v>73.000000000000057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-110.13698630137196</v>
      </c>
      <c r="AF34" s="498">
        <f t="shared" si="9"/>
        <v>0.954109589041095</v>
      </c>
      <c r="AG34" s="615"/>
    </row>
    <row r="35" spans="1:33" ht="15.75" customHeight="1">
      <c r="A35" s="641" t="s">
        <v>2489</v>
      </c>
      <c r="B35" s="29" t="s">
        <v>2485</v>
      </c>
      <c r="C35" s="618"/>
      <c r="D35" s="618"/>
      <c r="E35" s="496"/>
      <c r="F35" s="492"/>
      <c r="G35" s="490"/>
      <c r="H35" s="492"/>
      <c r="I35" s="23">
        <v>17.333333333333332</v>
      </c>
      <c r="J35" s="31">
        <v>2400</v>
      </c>
      <c r="K35" s="12">
        <f t="shared" si="1"/>
        <v>138.46153846153848</v>
      </c>
      <c r="L35" s="23">
        <v>17.333333333333332</v>
      </c>
      <c r="M35" s="13">
        <f>AVERAGE(M29:M34)</f>
        <v>2291.9471652250786</v>
      </c>
      <c r="N35" s="12">
        <f t="shared" si="3"/>
        <v>132.22772107067763</v>
      </c>
      <c r="O35" s="14">
        <f t="shared" si="4"/>
        <v>0</v>
      </c>
      <c r="P35" s="15">
        <f t="shared" si="5"/>
        <v>-6.2338173908608496</v>
      </c>
      <c r="Q35" s="498">
        <f t="shared" si="6"/>
        <v>0.95497798551044943</v>
      </c>
      <c r="R35" s="615"/>
      <c r="S35" s="34"/>
      <c r="T35" s="34"/>
      <c r="U35" s="490"/>
      <c r="V35" s="491"/>
      <c r="W35" s="490"/>
      <c r="X35" s="490"/>
      <c r="Y35" s="24">
        <f>SUM(Y29:Y34)</f>
        <v>0</v>
      </c>
      <c r="Z35" s="24">
        <f>SUM(Z29:Z34)</f>
        <v>0</v>
      </c>
      <c r="AA35" s="614"/>
      <c r="AB35" s="614"/>
      <c r="AC35" s="24">
        <v>6</v>
      </c>
      <c r="AD35" s="24">
        <f>SUM(AD29:AD34)</f>
        <v>0</v>
      </c>
      <c r="AE35" s="14">
        <f t="shared" si="8"/>
        <v>-108.05283477492139</v>
      </c>
      <c r="AF35" s="498">
        <f t="shared" si="9"/>
        <v>0.95497798551044943</v>
      </c>
      <c r="AG35" s="615"/>
    </row>
    <row r="36" spans="1:33" ht="15.75" customHeight="1">
      <c r="A36" s="638" t="s">
        <v>2490</v>
      </c>
      <c r="B36" s="29" t="s">
        <v>32</v>
      </c>
      <c r="C36" s="616" t="s">
        <v>77</v>
      </c>
      <c r="D36" s="616"/>
      <c r="E36" s="29">
        <v>26.18</v>
      </c>
      <c r="F36" s="492">
        <v>5010</v>
      </c>
      <c r="G36" s="490">
        <f t="shared" ref="G36:G42" si="27">E36*F36</f>
        <v>131161.79999999999</v>
      </c>
      <c r="H36" s="33" t="s">
        <v>57</v>
      </c>
      <c r="I36" s="493">
        <v>20</v>
      </c>
      <c r="J36" s="31">
        <v>2400</v>
      </c>
      <c r="K36" s="12">
        <f t="shared" si="1"/>
        <v>120</v>
      </c>
      <c r="L36" s="493">
        <v>20</v>
      </c>
      <c r="M36" s="13">
        <f t="shared" ref="M36:M42" si="28">F36/V36*60</f>
        <v>2294.6564885496182</v>
      </c>
      <c r="N36" s="12">
        <f t="shared" si="3"/>
        <v>114.73282442748091</v>
      </c>
      <c r="O36" s="14">
        <f t="shared" si="4"/>
        <v>0</v>
      </c>
      <c r="P36" s="15">
        <f t="shared" si="5"/>
        <v>-5.2671755725190934</v>
      </c>
      <c r="Q36" s="498">
        <f t="shared" si="6"/>
        <v>0.95610687022900753</v>
      </c>
      <c r="R36" s="615">
        <f>Q43</f>
        <v>0.95761626684060475</v>
      </c>
      <c r="S36" s="34">
        <v>8.3333333333333329E-2</v>
      </c>
      <c r="T36" s="34">
        <v>0.17430555555555555</v>
      </c>
      <c r="U36" s="490"/>
      <c r="V36" s="491">
        <f t="shared" ref="V36:V42" si="29">(T36-S36)*24*60</f>
        <v>131</v>
      </c>
      <c r="W36" s="21">
        <f>T36</f>
        <v>0.17430555555555555</v>
      </c>
      <c r="X36" s="21">
        <f>S37</f>
        <v>0.19513888888888889</v>
      </c>
      <c r="Y36" s="21"/>
      <c r="Z36" s="21"/>
      <c r="AA36" s="617"/>
      <c r="AB36" s="617"/>
      <c r="AC36" s="35">
        <v>7</v>
      </c>
      <c r="AD36" s="18"/>
      <c r="AE36" s="14">
        <f t="shared" si="8"/>
        <v>-105.34351145038181</v>
      </c>
      <c r="AF36" s="498">
        <f t="shared" si="9"/>
        <v>0.95610687022900753</v>
      </c>
      <c r="AG36" s="615">
        <f>AF43</f>
        <v>0.95761626684060475</v>
      </c>
    </row>
    <row r="37" spans="1:33" ht="15.75" customHeight="1">
      <c r="A37" s="638" t="s">
        <v>11</v>
      </c>
      <c r="B37" s="29" t="s">
        <v>32</v>
      </c>
      <c r="C37" s="616" t="s">
        <v>37</v>
      </c>
      <c r="D37" s="616"/>
      <c r="E37" s="29">
        <v>24.43</v>
      </c>
      <c r="F37" s="492">
        <v>5732</v>
      </c>
      <c r="G37" s="490">
        <f t="shared" si="27"/>
        <v>140032.76</v>
      </c>
      <c r="H37" s="33" t="s">
        <v>57</v>
      </c>
      <c r="I37" s="493">
        <v>14</v>
      </c>
      <c r="J37" s="31">
        <v>2400</v>
      </c>
      <c r="K37" s="12">
        <f t="shared" si="1"/>
        <v>171.42857142857142</v>
      </c>
      <c r="L37" s="493">
        <v>14</v>
      </c>
      <c r="M37" s="13">
        <f t="shared" si="28"/>
        <v>2292.7999999999997</v>
      </c>
      <c r="N37" s="12">
        <f t="shared" si="3"/>
        <v>163.77142857142854</v>
      </c>
      <c r="O37" s="14">
        <f t="shared" si="4"/>
        <v>0</v>
      </c>
      <c r="P37" s="15">
        <f t="shared" si="5"/>
        <v>-7.6571428571428726</v>
      </c>
      <c r="Q37" s="498">
        <f t="shared" si="6"/>
        <v>0.95533333333333326</v>
      </c>
      <c r="R37" s="615"/>
      <c r="S37" s="34">
        <v>0.19513888888888889</v>
      </c>
      <c r="T37" s="34">
        <v>0.29930555555555555</v>
      </c>
      <c r="U37" s="490">
        <f t="shared" ref="U37:U42" si="30">(S37-T36)*24*60</f>
        <v>30.000000000000014</v>
      </c>
      <c r="V37" s="491">
        <f t="shared" si="29"/>
        <v>150</v>
      </c>
      <c r="W37" s="490"/>
      <c r="X37" s="490"/>
      <c r="Y37" s="490"/>
      <c r="Z37" s="490"/>
      <c r="AA37" s="617"/>
      <c r="AB37" s="617"/>
      <c r="AC37" s="35"/>
      <c r="AD37" s="18"/>
      <c r="AE37" s="14">
        <f t="shared" si="8"/>
        <v>-107.20000000000027</v>
      </c>
      <c r="AF37" s="498">
        <f t="shared" si="9"/>
        <v>0.95533333333333326</v>
      </c>
      <c r="AG37" s="615"/>
    </row>
    <row r="38" spans="1:33">
      <c r="A38" s="639" t="s">
        <v>11</v>
      </c>
      <c r="B38" s="29" t="s">
        <v>32</v>
      </c>
      <c r="C38" s="616" t="s">
        <v>2090</v>
      </c>
      <c r="D38" s="616"/>
      <c r="E38" s="29">
        <v>25.98</v>
      </c>
      <c r="F38" s="492">
        <v>3800</v>
      </c>
      <c r="G38" s="490">
        <f t="shared" si="27"/>
        <v>98724</v>
      </c>
      <c r="H38" s="33">
        <v>2</v>
      </c>
      <c r="I38" s="493">
        <v>20</v>
      </c>
      <c r="J38" s="31">
        <v>2400</v>
      </c>
      <c r="K38" s="12">
        <f t="shared" si="1"/>
        <v>120</v>
      </c>
      <c r="L38" s="493">
        <v>20</v>
      </c>
      <c r="M38" s="13">
        <f t="shared" si="28"/>
        <v>2303.0303030303039</v>
      </c>
      <c r="N38" s="12">
        <f t="shared" si="3"/>
        <v>115.1515151515152</v>
      </c>
      <c r="O38" s="14">
        <f t="shared" si="4"/>
        <v>0</v>
      </c>
      <c r="P38" s="15">
        <f t="shared" si="5"/>
        <v>-4.8484848484848015</v>
      </c>
      <c r="Q38" s="498">
        <f t="shared" si="6"/>
        <v>0.95959595959596</v>
      </c>
      <c r="R38" s="615"/>
      <c r="S38" s="34">
        <v>0.30277777777777776</v>
      </c>
      <c r="T38" s="34">
        <v>0.37152777777777773</v>
      </c>
      <c r="U38" s="490">
        <f t="shared" si="30"/>
        <v>4.9999999999999822</v>
      </c>
      <c r="V38" s="491">
        <f t="shared" si="29"/>
        <v>98.999999999999972</v>
      </c>
      <c r="W38" s="490"/>
      <c r="X38" s="490"/>
      <c r="Y38" s="490"/>
      <c r="Z38" s="490"/>
      <c r="AA38" s="617"/>
      <c r="AB38" s="617"/>
      <c r="AC38" s="35"/>
      <c r="AD38" s="18"/>
      <c r="AE38" s="14">
        <f t="shared" si="8"/>
        <v>-96.969696969696088</v>
      </c>
      <c r="AF38" s="498">
        <f t="shared" si="9"/>
        <v>0.95959595959596</v>
      </c>
      <c r="AG38" s="615"/>
    </row>
    <row r="39" spans="1:33">
      <c r="A39" s="639" t="s">
        <v>2490</v>
      </c>
      <c r="B39" s="29" t="s">
        <v>32</v>
      </c>
      <c r="C39" s="616" t="s">
        <v>39</v>
      </c>
      <c r="D39" s="616"/>
      <c r="E39" s="29">
        <v>34.1</v>
      </c>
      <c r="F39" s="492">
        <v>3000</v>
      </c>
      <c r="G39" s="490">
        <f t="shared" si="27"/>
        <v>102300</v>
      </c>
      <c r="H39" s="33">
        <v>2</v>
      </c>
      <c r="I39" s="493">
        <v>17</v>
      </c>
      <c r="J39" s="31">
        <v>1600</v>
      </c>
      <c r="K39" s="12">
        <f t="shared" si="1"/>
        <v>94.117647058823536</v>
      </c>
      <c r="L39" s="493">
        <v>17</v>
      </c>
      <c r="M39" s="13">
        <f t="shared" si="28"/>
        <v>1525.4237288135596</v>
      </c>
      <c r="N39" s="12">
        <f t="shared" si="3"/>
        <v>89.730807577268209</v>
      </c>
      <c r="O39" s="14">
        <f t="shared" si="4"/>
        <v>0</v>
      </c>
      <c r="P39" s="15">
        <f t="shared" si="5"/>
        <v>-4.3868394815553273</v>
      </c>
      <c r="Q39" s="498">
        <f t="shared" si="6"/>
        <v>0.9533898305084747</v>
      </c>
      <c r="R39" s="615"/>
      <c r="S39" s="34">
        <v>0.37499999999999994</v>
      </c>
      <c r="T39" s="34">
        <v>0.45694444444444438</v>
      </c>
      <c r="U39" s="490">
        <f t="shared" si="30"/>
        <v>4.9999999999999822</v>
      </c>
      <c r="V39" s="491">
        <f t="shared" si="29"/>
        <v>117.99999999999999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-74.576271186440408</v>
      </c>
      <c r="AF39" s="498">
        <f t="shared" si="9"/>
        <v>0.9533898305084747</v>
      </c>
      <c r="AG39" s="615"/>
    </row>
    <row r="40" spans="1:33">
      <c r="A40" s="639" t="s">
        <v>2490</v>
      </c>
      <c r="B40" s="29" t="s">
        <v>32</v>
      </c>
      <c r="C40" s="616" t="s">
        <v>84</v>
      </c>
      <c r="D40" s="616"/>
      <c r="E40" s="29">
        <v>20.21</v>
      </c>
      <c r="F40" s="492">
        <v>2700</v>
      </c>
      <c r="G40" s="490">
        <f t="shared" si="27"/>
        <v>54567</v>
      </c>
      <c r="H40" s="33" t="s">
        <v>57</v>
      </c>
      <c r="I40" s="493">
        <v>18</v>
      </c>
      <c r="J40" s="31">
        <v>2400</v>
      </c>
      <c r="K40" s="12">
        <f t="shared" si="1"/>
        <v>133.33333333333334</v>
      </c>
      <c r="L40" s="493">
        <v>18</v>
      </c>
      <c r="M40" s="13">
        <f t="shared" si="28"/>
        <v>2314.2857142857119</v>
      </c>
      <c r="N40" s="12">
        <f t="shared" si="3"/>
        <v>128.57142857142844</v>
      </c>
      <c r="O40" s="14">
        <f t="shared" si="4"/>
        <v>0</v>
      </c>
      <c r="P40" s="15">
        <f t="shared" si="5"/>
        <v>-4.7619047619049013</v>
      </c>
      <c r="Q40" s="498">
        <f t="shared" si="6"/>
        <v>0.96428571428571319</v>
      </c>
      <c r="R40" s="615"/>
      <c r="S40" s="34">
        <v>0.46041666666666659</v>
      </c>
      <c r="T40" s="34">
        <v>0.50902777777777775</v>
      </c>
      <c r="U40" s="490">
        <f t="shared" si="30"/>
        <v>4.9999999999999822</v>
      </c>
      <c r="V40" s="491">
        <f t="shared" si="29"/>
        <v>70.000000000000071</v>
      </c>
      <c r="W40" s="16">
        <f>T40</f>
        <v>0.50902777777777775</v>
      </c>
      <c r="X40" s="16">
        <f>S41</f>
        <v>0.54930555555555549</v>
      </c>
      <c r="Y40" s="16"/>
      <c r="Z40" s="16"/>
      <c r="AA40" s="617"/>
      <c r="AB40" s="617"/>
      <c r="AC40" s="35"/>
      <c r="AD40" s="18"/>
      <c r="AE40" s="14">
        <f t="shared" si="8"/>
        <v>-85.714285714288053</v>
      </c>
      <c r="AF40" s="498">
        <f t="shared" si="9"/>
        <v>0.9642857142857133</v>
      </c>
      <c r="AG40" s="615"/>
    </row>
    <row r="41" spans="1:33">
      <c r="A41" s="639" t="s">
        <v>2490</v>
      </c>
      <c r="B41" s="29" t="s">
        <v>32</v>
      </c>
      <c r="C41" s="616" t="s">
        <v>39</v>
      </c>
      <c r="D41" s="616"/>
      <c r="E41" s="29">
        <v>34.1</v>
      </c>
      <c r="F41" s="492">
        <v>2274</v>
      </c>
      <c r="G41" s="490">
        <f t="shared" si="27"/>
        <v>77543.400000000009</v>
      </c>
      <c r="H41" s="33" t="s">
        <v>57</v>
      </c>
      <c r="I41" s="493">
        <v>17</v>
      </c>
      <c r="J41" s="31">
        <v>1600</v>
      </c>
      <c r="K41" s="12">
        <f t="shared" si="1"/>
        <v>94.117647058823536</v>
      </c>
      <c r="L41" s="493">
        <v>17</v>
      </c>
      <c r="M41" s="13">
        <f t="shared" si="28"/>
        <v>1533.0337078651685</v>
      </c>
      <c r="N41" s="12">
        <f t="shared" si="3"/>
        <v>90.178453403833444</v>
      </c>
      <c r="O41" s="14">
        <f t="shared" si="4"/>
        <v>0</v>
      </c>
      <c r="P41" s="15">
        <f t="shared" si="5"/>
        <v>-3.9391936549900919</v>
      </c>
      <c r="Q41" s="498">
        <f t="shared" si="6"/>
        <v>0.95814606741573027</v>
      </c>
      <c r="R41" s="615"/>
      <c r="S41" s="34">
        <v>0.54930555555555549</v>
      </c>
      <c r="T41" s="34">
        <v>0.61111111111111105</v>
      </c>
      <c r="U41" s="490">
        <f t="shared" si="30"/>
        <v>57.999999999999957</v>
      </c>
      <c r="V41" s="491">
        <f t="shared" si="29"/>
        <v>89</v>
      </c>
      <c r="W41" s="16"/>
      <c r="X41" s="16"/>
      <c r="Y41" s="16"/>
      <c r="Z41" s="16"/>
      <c r="AA41" s="617"/>
      <c r="AB41" s="617"/>
      <c r="AC41" s="35"/>
      <c r="AD41" s="18"/>
      <c r="AE41" s="14">
        <f t="shared" si="8"/>
        <v>-66.966292134831519</v>
      </c>
      <c r="AF41" s="498">
        <f t="shared" si="9"/>
        <v>0.95814606741573027</v>
      </c>
      <c r="AG41" s="615"/>
    </row>
    <row r="42" spans="1:33">
      <c r="A42" s="639" t="s">
        <v>2490</v>
      </c>
      <c r="B42" s="29" t="s">
        <v>32</v>
      </c>
      <c r="C42" s="616" t="s">
        <v>2090</v>
      </c>
      <c r="D42" s="616"/>
      <c r="E42" s="29">
        <v>25.98</v>
      </c>
      <c r="F42" s="492">
        <v>2560</v>
      </c>
      <c r="G42" s="490">
        <f t="shared" si="27"/>
        <v>66508.800000000003</v>
      </c>
      <c r="H42" s="33" t="s">
        <v>57</v>
      </c>
      <c r="I42" s="493">
        <v>20</v>
      </c>
      <c r="J42" s="31">
        <v>2400</v>
      </c>
      <c r="K42" s="12">
        <f t="shared" si="1"/>
        <v>120</v>
      </c>
      <c r="L42" s="493">
        <v>20</v>
      </c>
      <c r="M42" s="13">
        <f t="shared" si="28"/>
        <v>2292.5373134328329</v>
      </c>
      <c r="N42" s="12">
        <f t="shared" si="3"/>
        <v>114.62686567164164</v>
      </c>
      <c r="O42" s="14">
        <f t="shared" si="4"/>
        <v>0</v>
      </c>
      <c r="P42" s="15">
        <f t="shared" si="5"/>
        <v>-5.3731343283583612</v>
      </c>
      <c r="Q42" s="498">
        <f t="shared" si="6"/>
        <v>0.95522388059701369</v>
      </c>
      <c r="R42" s="615"/>
      <c r="S42" s="34">
        <v>0.61666666666666659</v>
      </c>
      <c r="T42" s="34">
        <v>0.66319444444444442</v>
      </c>
      <c r="U42" s="490">
        <f t="shared" si="30"/>
        <v>7.9999999999999716</v>
      </c>
      <c r="V42" s="491">
        <f t="shared" si="29"/>
        <v>67.000000000000085</v>
      </c>
      <c r="W42" s="16"/>
      <c r="X42" s="16"/>
      <c r="Y42" s="19"/>
      <c r="Z42" s="19"/>
      <c r="AA42" s="624"/>
      <c r="AB42" s="625"/>
      <c r="AC42" s="35"/>
      <c r="AD42" s="18"/>
      <c r="AE42" s="14">
        <f t="shared" si="8"/>
        <v>-107.46268656716711</v>
      </c>
      <c r="AF42" s="498">
        <f t="shared" si="9"/>
        <v>0.95522388059701369</v>
      </c>
      <c r="AG42" s="615"/>
    </row>
    <row r="43" spans="1:33">
      <c r="A43" s="639" t="s">
        <v>11</v>
      </c>
      <c r="B43" s="30" t="s">
        <v>2485</v>
      </c>
      <c r="C43" s="618"/>
      <c r="D43" s="618"/>
      <c r="E43" s="496"/>
      <c r="F43" s="30"/>
      <c r="G43" s="12"/>
      <c r="H43" s="492"/>
      <c r="I43" s="23">
        <v>18</v>
      </c>
      <c r="J43" s="31">
        <v>2171.4285714285716</v>
      </c>
      <c r="K43" s="12">
        <f t="shared" si="1"/>
        <v>120.63492063492065</v>
      </c>
      <c r="L43" s="23">
        <v>18</v>
      </c>
      <c r="M43" s="13">
        <f>AVERAGE(M36:M42)</f>
        <v>2079.3953222824562</v>
      </c>
      <c r="N43" s="12">
        <f t="shared" si="3"/>
        <v>115.52196234902534</v>
      </c>
      <c r="O43" s="14">
        <f t="shared" si="4"/>
        <v>0</v>
      </c>
      <c r="P43" s="15">
        <f t="shared" si="5"/>
        <v>-5.1129582858953029</v>
      </c>
      <c r="Q43" s="498">
        <f t="shared" si="6"/>
        <v>0.95761626684060475</v>
      </c>
      <c r="R43" s="615"/>
      <c r="S43" s="34"/>
      <c r="T43" s="34"/>
      <c r="U43" s="12"/>
      <c r="V43" s="491"/>
      <c r="W43" s="12"/>
      <c r="X43" s="12"/>
      <c r="Y43" s="24">
        <f>SUM(Y36:Y42)</f>
        <v>0</v>
      </c>
      <c r="Z43" s="24">
        <f>SUM(Z36:Z42)</f>
        <v>0</v>
      </c>
      <c r="AA43" s="614"/>
      <c r="AB43" s="614"/>
      <c r="AC43" s="24">
        <v>7</v>
      </c>
      <c r="AD43" s="24">
        <f>SUM(AD36:AD42)</f>
        <v>0</v>
      </c>
      <c r="AE43" s="14">
        <f t="shared" si="8"/>
        <v>-92.033249146115395</v>
      </c>
      <c r="AF43" s="498">
        <f t="shared" si="9"/>
        <v>0.95761626684060475</v>
      </c>
      <c r="AG43" s="615"/>
    </row>
    <row r="44" spans="1:33" ht="15.75" customHeight="1">
      <c r="A44" s="632" t="s">
        <v>1046</v>
      </c>
      <c r="B44" s="29" t="s">
        <v>40</v>
      </c>
      <c r="C44" s="622" t="s">
        <v>42</v>
      </c>
      <c r="D44" s="623"/>
      <c r="E44" s="29">
        <v>35.119999999999997</v>
      </c>
      <c r="F44" s="492">
        <v>5526</v>
      </c>
      <c r="G44" s="490">
        <f t="shared" ref="G44:G46" si="31">E44*F44</f>
        <v>194073.12</v>
      </c>
      <c r="H44" s="33" t="s">
        <v>57</v>
      </c>
      <c r="I44" s="493">
        <v>10</v>
      </c>
      <c r="J44" s="31">
        <v>3000</v>
      </c>
      <c r="K44" s="12">
        <f t="shared" si="1"/>
        <v>300</v>
      </c>
      <c r="L44" s="493">
        <v>10</v>
      </c>
      <c r="M44" s="13">
        <f t="shared" ref="M44:M46" si="32">F44/V44*60</f>
        <v>2858.2758620689647</v>
      </c>
      <c r="N44" s="13">
        <f t="shared" si="3"/>
        <v>285.82758620689646</v>
      </c>
      <c r="O44" s="14">
        <f t="shared" si="4"/>
        <v>0</v>
      </c>
      <c r="P44" s="15">
        <f t="shared" si="5"/>
        <v>-14.172413793103544</v>
      </c>
      <c r="Q44" s="498">
        <f t="shared" si="6"/>
        <v>0.95275862068965489</v>
      </c>
      <c r="R44" s="635">
        <f>Q47</f>
        <v>0.95515030946065416</v>
      </c>
      <c r="S44" s="34">
        <v>0.20833333333333334</v>
      </c>
      <c r="T44" s="34">
        <v>0.28888888888888892</v>
      </c>
      <c r="U44" s="21"/>
      <c r="V44" s="491">
        <f t="shared" ref="V44:V46" si="33">(T44-S44)*24*60</f>
        <v>116.00000000000003</v>
      </c>
      <c r="W44" s="16"/>
      <c r="X44" s="16"/>
      <c r="Y44" s="19"/>
      <c r="Z44" s="19"/>
      <c r="AA44" s="624"/>
      <c r="AB44" s="625"/>
      <c r="AC44" s="35">
        <v>3</v>
      </c>
      <c r="AD44" s="18"/>
      <c r="AE44" s="14">
        <f t="shared" si="8"/>
        <v>-141.72413793103533</v>
      </c>
      <c r="AF44" s="498">
        <f t="shared" si="9"/>
        <v>0.95275862068965489</v>
      </c>
      <c r="AG44" s="635">
        <f>AF47</f>
        <v>0.95515030946065416</v>
      </c>
    </row>
    <row r="45" spans="1:33" ht="15.75" customHeight="1">
      <c r="A45" s="633" t="s">
        <v>2491</v>
      </c>
      <c r="B45" s="29" t="s">
        <v>40</v>
      </c>
      <c r="C45" s="622" t="s">
        <v>43</v>
      </c>
      <c r="D45" s="623"/>
      <c r="E45" s="29">
        <v>21.13</v>
      </c>
      <c r="F45" s="492">
        <v>4980</v>
      </c>
      <c r="G45" s="490">
        <f t="shared" si="31"/>
        <v>105227.4</v>
      </c>
      <c r="H45" s="33" t="s">
        <v>57</v>
      </c>
      <c r="I45" s="493">
        <v>10</v>
      </c>
      <c r="J45" s="31">
        <v>3000</v>
      </c>
      <c r="K45" s="12">
        <f t="shared" si="1"/>
        <v>300</v>
      </c>
      <c r="L45" s="493">
        <v>10</v>
      </c>
      <c r="M45" s="13">
        <f t="shared" si="32"/>
        <v>2873.0769230769224</v>
      </c>
      <c r="N45" s="13">
        <f t="shared" si="3"/>
        <v>287.30769230769226</v>
      </c>
      <c r="O45" s="14">
        <f t="shared" si="4"/>
        <v>0</v>
      </c>
      <c r="P45" s="15">
        <f t="shared" si="5"/>
        <v>-12.692307692307736</v>
      </c>
      <c r="Q45" s="498">
        <f t="shared" si="6"/>
        <v>0.95769230769230751</v>
      </c>
      <c r="R45" s="636"/>
      <c r="S45" s="34">
        <v>0.29444444444444445</v>
      </c>
      <c r="T45" s="34">
        <v>0.3666666666666667</v>
      </c>
      <c r="U45" s="490">
        <f t="shared" ref="U45:U46" si="34">(S45-T44)*24*60</f>
        <v>7.9999999999999716</v>
      </c>
      <c r="V45" s="491">
        <f t="shared" si="33"/>
        <v>104.00000000000003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-126.92307692307759</v>
      </c>
      <c r="AF45" s="498">
        <f t="shared" si="9"/>
        <v>0.95769230769230751</v>
      </c>
      <c r="AG45" s="636"/>
    </row>
    <row r="46" spans="1:33" ht="15.75" customHeight="1">
      <c r="A46" s="633" t="s">
        <v>2491</v>
      </c>
      <c r="B46" s="29" t="s">
        <v>40</v>
      </c>
      <c r="C46" s="622" t="s">
        <v>44</v>
      </c>
      <c r="D46" s="623"/>
      <c r="E46" s="29">
        <v>27.17</v>
      </c>
      <c r="F46" s="492">
        <v>6685</v>
      </c>
      <c r="G46" s="490">
        <f t="shared" si="31"/>
        <v>181631.45</v>
      </c>
      <c r="H46" s="33" t="s">
        <v>57</v>
      </c>
      <c r="I46" s="493">
        <v>10</v>
      </c>
      <c r="J46" s="31">
        <v>3000</v>
      </c>
      <c r="K46" s="12">
        <f t="shared" si="1"/>
        <v>300</v>
      </c>
      <c r="L46" s="493">
        <v>10</v>
      </c>
      <c r="M46" s="13">
        <f t="shared" si="32"/>
        <v>2865.0000000000005</v>
      </c>
      <c r="N46" s="13">
        <f t="shared" si="3"/>
        <v>286.50000000000006</v>
      </c>
      <c r="O46" s="14">
        <f t="shared" si="4"/>
        <v>0</v>
      </c>
      <c r="P46" s="15">
        <f t="shared" si="5"/>
        <v>-13.499999999999943</v>
      </c>
      <c r="Q46" s="498">
        <f t="shared" si="6"/>
        <v>0.95500000000000018</v>
      </c>
      <c r="R46" s="636"/>
      <c r="S46" s="34">
        <v>0.37152777777777779</v>
      </c>
      <c r="T46" s="34">
        <v>0.46875</v>
      </c>
      <c r="U46" s="490">
        <f t="shared" si="34"/>
        <v>6.9999999999999751</v>
      </c>
      <c r="V46" s="491">
        <f t="shared" si="33"/>
        <v>139.99999999999997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-134.99999999999955</v>
      </c>
      <c r="AF46" s="498">
        <f t="shared" si="9"/>
        <v>0.95500000000000018</v>
      </c>
      <c r="AG46" s="636"/>
    </row>
    <row r="47" spans="1:33" ht="15.75" customHeight="1">
      <c r="A47" s="634" t="s">
        <v>2491</v>
      </c>
      <c r="B47" s="29" t="s">
        <v>2485</v>
      </c>
      <c r="C47" s="612"/>
      <c r="D47" s="613"/>
      <c r="E47" s="501"/>
      <c r="F47" s="492"/>
      <c r="G47" s="490"/>
      <c r="H47" s="492"/>
      <c r="I47" s="23">
        <v>10</v>
      </c>
      <c r="J47" s="31">
        <v>3000</v>
      </c>
      <c r="K47" s="12">
        <f t="shared" si="1"/>
        <v>300</v>
      </c>
      <c r="L47" s="23">
        <v>10</v>
      </c>
      <c r="M47" s="13">
        <f>AVERAGE(M44:M46)</f>
        <v>2865.4509283819625</v>
      </c>
      <c r="N47" s="12">
        <f t="shared" si="3"/>
        <v>286.54509283819624</v>
      </c>
      <c r="O47" s="14">
        <f t="shared" si="4"/>
        <v>0</v>
      </c>
      <c r="P47" s="15">
        <f t="shared" si="5"/>
        <v>-13.45490716180376</v>
      </c>
      <c r="Q47" s="498">
        <f t="shared" si="6"/>
        <v>0.95515030946065416</v>
      </c>
      <c r="R47" s="637"/>
      <c r="S47" s="34"/>
      <c r="T47" s="34"/>
      <c r="U47" s="490"/>
      <c r="V47" s="491"/>
      <c r="W47" s="16"/>
      <c r="X47" s="16"/>
      <c r="Y47" s="24">
        <f>SUM(Y44:Y46)</f>
        <v>0</v>
      </c>
      <c r="Z47" s="24">
        <f>SUM(Z44:Z46)</f>
        <v>0</v>
      </c>
      <c r="AA47" s="628"/>
      <c r="AB47" s="629"/>
      <c r="AC47" s="24">
        <v>3</v>
      </c>
      <c r="AD47" s="24">
        <f>SUM(AD44:AD46)</f>
        <v>0</v>
      </c>
      <c r="AE47" s="14">
        <f t="shared" si="8"/>
        <v>-134.54907161803749</v>
      </c>
      <c r="AF47" s="498">
        <f t="shared" si="9"/>
        <v>0.95515030946065416</v>
      </c>
      <c r="AG47" s="637"/>
    </row>
    <row r="48" spans="1:33" ht="15.75" customHeight="1">
      <c r="A48" s="630" t="s">
        <v>2492</v>
      </c>
      <c r="B48" s="29" t="s">
        <v>15</v>
      </c>
      <c r="C48" s="616" t="s">
        <v>46</v>
      </c>
      <c r="D48" s="616"/>
      <c r="E48" s="29">
        <v>56.43</v>
      </c>
      <c r="F48" s="32">
        <v>1293</v>
      </c>
      <c r="G48" s="490">
        <f t="shared" ref="G48:G54" si="35">E48*F48</f>
        <v>72963.990000000005</v>
      </c>
      <c r="H48" s="33" t="s">
        <v>57</v>
      </c>
      <c r="I48" s="493">
        <v>22</v>
      </c>
      <c r="J48" s="31">
        <v>2000</v>
      </c>
      <c r="K48" s="12">
        <f t="shared" si="1"/>
        <v>90.909090909090907</v>
      </c>
      <c r="L48" s="493">
        <v>22</v>
      </c>
      <c r="M48" s="13">
        <f t="shared" ref="M48" si="36">F48/V48*60</f>
        <v>1939.5000000000009</v>
      </c>
      <c r="N48" s="13">
        <f t="shared" si="3"/>
        <v>88.159090909090949</v>
      </c>
      <c r="O48" s="14">
        <f t="shared" si="4"/>
        <v>0</v>
      </c>
      <c r="P48" s="15">
        <f t="shared" si="5"/>
        <v>-2.7499999999999574</v>
      </c>
      <c r="Q48" s="498">
        <f t="shared" si="6"/>
        <v>0.96975000000000044</v>
      </c>
      <c r="R48" s="615">
        <f>Q55</f>
        <v>0.96069176979186</v>
      </c>
      <c r="S48" s="34">
        <v>0.16666666666666666</v>
      </c>
      <c r="T48" s="34">
        <v>0.19444444444444442</v>
      </c>
      <c r="U48" s="21"/>
      <c r="V48" s="491">
        <f t="shared" ref="V48:V54" si="37">(T48-S48)*24*60</f>
        <v>39.999999999999979</v>
      </c>
      <c r="W48" s="16">
        <f>T48</f>
        <v>0.19444444444444442</v>
      </c>
      <c r="X48" s="16">
        <f>S49</f>
        <v>0.21458333333333332</v>
      </c>
      <c r="Y48" s="21"/>
      <c r="Z48" s="21"/>
      <c r="AA48" s="617"/>
      <c r="AB48" s="617"/>
      <c r="AC48" s="35">
        <v>7</v>
      </c>
      <c r="AD48" s="18"/>
      <c r="AE48" s="14">
        <f t="shared" si="8"/>
        <v>-60.499999999999091</v>
      </c>
      <c r="AF48" s="498">
        <f t="shared" si="9"/>
        <v>0.96975000000000044</v>
      </c>
      <c r="AG48" s="615">
        <f>AF55</f>
        <v>0.96069176979185988</v>
      </c>
    </row>
    <row r="49" spans="1:33" ht="15.75" customHeight="1">
      <c r="A49" s="630" t="s">
        <v>2492</v>
      </c>
      <c r="B49" s="29" t="s">
        <v>19</v>
      </c>
      <c r="C49" s="616" t="s">
        <v>81</v>
      </c>
      <c r="D49" s="616"/>
      <c r="E49" s="29">
        <v>46</v>
      </c>
      <c r="F49" s="32">
        <v>2751</v>
      </c>
      <c r="G49" s="490">
        <f t="shared" si="35"/>
        <v>126546</v>
      </c>
      <c r="H49" s="33" t="s">
        <v>57</v>
      </c>
      <c r="I49" s="493">
        <v>16</v>
      </c>
      <c r="J49" s="31">
        <v>2000</v>
      </c>
      <c r="K49" s="12">
        <f t="shared" si="1"/>
        <v>125</v>
      </c>
      <c r="L49" s="493">
        <v>16</v>
      </c>
      <c r="M49" s="13">
        <f>F49/V49*60</f>
        <v>1919.302325581396</v>
      </c>
      <c r="N49" s="13">
        <f t="shared" si="3"/>
        <v>119.95639534883725</v>
      </c>
      <c r="O49" s="14">
        <f t="shared" si="4"/>
        <v>0</v>
      </c>
      <c r="P49" s="15">
        <f t="shared" si="5"/>
        <v>-5.0436046511627524</v>
      </c>
      <c r="Q49" s="498">
        <f t="shared" si="6"/>
        <v>0.95965116279069795</v>
      </c>
      <c r="R49" s="615"/>
      <c r="S49" s="34">
        <v>0.21458333333333332</v>
      </c>
      <c r="T49" s="34">
        <v>0.27430555555555552</v>
      </c>
      <c r="U49" s="490">
        <f t="shared" ref="U49:U54" si="38">IF(S49=TIME(17,0,0),"",(S49-T48)*24*60)</f>
        <v>29.000000000000018</v>
      </c>
      <c r="V49" s="491">
        <f t="shared" si="37"/>
        <v>85.999999999999972</v>
      </c>
      <c r="W49" s="16"/>
      <c r="X49" s="16"/>
      <c r="Y49" s="16"/>
      <c r="Z49" s="16"/>
      <c r="AA49" s="617"/>
      <c r="AB49" s="617"/>
      <c r="AC49" s="35"/>
      <c r="AD49" s="18"/>
      <c r="AE49" s="14">
        <f t="shared" si="8"/>
        <v>-80.697674418604038</v>
      </c>
      <c r="AF49" s="498">
        <f t="shared" si="9"/>
        <v>0.95965116279069795</v>
      </c>
      <c r="AG49" s="615"/>
    </row>
    <row r="50" spans="1:33" ht="15.75" customHeight="1">
      <c r="A50" s="630" t="s">
        <v>2492</v>
      </c>
      <c r="B50" s="29" t="s">
        <v>19</v>
      </c>
      <c r="C50" s="622" t="s">
        <v>945</v>
      </c>
      <c r="D50" s="623"/>
      <c r="E50" s="29">
        <v>46</v>
      </c>
      <c r="F50" s="32">
        <v>4053</v>
      </c>
      <c r="G50" s="490">
        <f t="shared" si="35"/>
        <v>186438</v>
      </c>
      <c r="H50" s="33" t="s">
        <v>57</v>
      </c>
      <c r="I50" s="493">
        <v>17</v>
      </c>
      <c r="J50" s="31">
        <v>2000</v>
      </c>
      <c r="K50" s="12">
        <f t="shared" si="1"/>
        <v>117.64705882352941</v>
      </c>
      <c r="L50" s="493">
        <v>17</v>
      </c>
      <c r="M50" s="13">
        <f t="shared" ref="M50:M54" si="39">F50/V50*60</f>
        <v>1914.8031496062986</v>
      </c>
      <c r="N50" s="13">
        <f t="shared" si="3"/>
        <v>112.6354793886058</v>
      </c>
      <c r="O50" s="14">
        <f t="shared" si="4"/>
        <v>0</v>
      </c>
      <c r="P50" s="15">
        <f t="shared" si="5"/>
        <v>-5.011579434923604</v>
      </c>
      <c r="Q50" s="498">
        <f t="shared" si="6"/>
        <v>0.95740157480314936</v>
      </c>
      <c r="R50" s="615"/>
      <c r="S50" s="34">
        <v>0.27847222222222218</v>
      </c>
      <c r="T50" s="34">
        <v>0.36666666666666664</v>
      </c>
      <c r="U50" s="490">
        <f t="shared" si="38"/>
        <v>5.9999999999999787</v>
      </c>
      <c r="V50" s="491">
        <f t="shared" si="37"/>
        <v>127.00000000000003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-85.196850393701425</v>
      </c>
      <c r="AF50" s="498">
        <f t="shared" si="9"/>
        <v>0.95740157480314925</v>
      </c>
      <c r="AG50" s="615"/>
    </row>
    <row r="51" spans="1:33" ht="15.75" customHeight="1">
      <c r="A51" s="630" t="s">
        <v>2492</v>
      </c>
      <c r="B51" s="29" t="s">
        <v>15</v>
      </c>
      <c r="C51" s="499" t="s">
        <v>27</v>
      </c>
      <c r="D51" s="500"/>
      <c r="E51" s="29">
        <v>59.04</v>
      </c>
      <c r="F51" s="32">
        <v>2080</v>
      </c>
      <c r="G51" s="490">
        <f t="shared" si="35"/>
        <v>122803.2</v>
      </c>
      <c r="H51" s="33" t="s">
        <v>57</v>
      </c>
      <c r="I51" s="493">
        <v>19</v>
      </c>
      <c r="J51" s="31">
        <v>2000</v>
      </c>
      <c r="K51" s="12">
        <f t="shared" si="1"/>
        <v>105.26315789473684</v>
      </c>
      <c r="L51" s="493">
        <v>19</v>
      </c>
      <c r="M51" s="13">
        <f t="shared" si="39"/>
        <v>1919.9999999999995</v>
      </c>
      <c r="N51" s="13">
        <f t="shared" si="3"/>
        <v>101.05263157894734</v>
      </c>
      <c r="O51" s="14">
        <f t="shared" si="4"/>
        <v>0</v>
      </c>
      <c r="P51" s="15">
        <f t="shared" si="5"/>
        <v>-4.2105263157894939</v>
      </c>
      <c r="Q51" s="498">
        <f t="shared" si="6"/>
        <v>0.95999999999999985</v>
      </c>
      <c r="R51" s="615"/>
      <c r="S51" s="34">
        <v>0.37222222222222218</v>
      </c>
      <c r="T51" s="34">
        <v>0.41736111111111107</v>
      </c>
      <c r="U51" s="490">
        <f t="shared" si="38"/>
        <v>7.9999999999999716</v>
      </c>
      <c r="V51" s="491">
        <f t="shared" si="37"/>
        <v>65.000000000000014</v>
      </c>
      <c r="W51" s="16"/>
      <c r="X51" s="16"/>
      <c r="Y51" s="19"/>
      <c r="Z51" s="19"/>
      <c r="AA51" s="617"/>
      <c r="AB51" s="617"/>
      <c r="AC51" s="35"/>
      <c r="AD51" s="18"/>
      <c r="AE51" s="14">
        <f t="shared" si="8"/>
        <v>-80.000000000000455</v>
      </c>
      <c r="AF51" s="498">
        <f t="shared" si="9"/>
        <v>0.95999999999999974</v>
      </c>
      <c r="AG51" s="615"/>
    </row>
    <row r="52" spans="1:33" ht="15.75" customHeight="1">
      <c r="A52" s="630" t="s">
        <v>2492</v>
      </c>
      <c r="B52" s="29" t="s">
        <v>15</v>
      </c>
      <c r="C52" s="499" t="s">
        <v>48</v>
      </c>
      <c r="D52" s="500"/>
      <c r="E52" s="29">
        <v>55.56</v>
      </c>
      <c r="F52" s="32">
        <v>2259</v>
      </c>
      <c r="G52" s="490">
        <f t="shared" si="35"/>
        <v>125510.04000000001</v>
      </c>
      <c r="H52" s="33" t="s">
        <v>57</v>
      </c>
      <c r="I52" s="493">
        <v>17</v>
      </c>
      <c r="J52" s="31">
        <v>2000</v>
      </c>
      <c r="K52" s="12">
        <f t="shared" si="1"/>
        <v>117.64705882352941</v>
      </c>
      <c r="L52" s="493">
        <v>17</v>
      </c>
      <c r="M52" s="13">
        <f t="shared" si="39"/>
        <v>1909.0140845070403</v>
      </c>
      <c r="N52" s="13">
        <f t="shared" si="3"/>
        <v>112.29494614747296</v>
      </c>
      <c r="O52" s="14">
        <f t="shared" si="4"/>
        <v>0</v>
      </c>
      <c r="P52" s="15">
        <f t="shared" si="5"/>
        <v>-5.3521126760564499</v>
      </c>
      <c r="Q52" s="498">
        <f t="shared" si="6"/>
        <v>0.95450704225352012</v>
      </c>
      <c r="R52" s="615"/>
      <c r="S52" s="34">
        <v>0.70833333333333337</v>
      </c>
      <c r="T52" s="34">
        <v>0.75763888888888897</v>
      </c>
      <c r="U52" s="490" t="str">
        <f t="shared" si="38"/>
        <v/>
      </c>
      <c r="V52" s="491">
        <f t="shared" si="37"/>
        <v>71.000000000000071</v>
      </c>
      <c r="W52" s="16"/>
      <c r="X52" s="16"/>
      <c r="Y52" s="19"/>
      <c r="Z52" s="19"/>
      <c r="AA52" s="617"/>
      <c r="AB52" s="617"/>
      <c r="AC52" s="35"/>
      <c r="AD52" s="18"/>
      <c r="AE52" s="14">
        <f t="shared" si="8"/>
        <v>-90.985915492959748</v>
      </c>
      <c r="AF52" s="498">
        <f t="shared" si="9"/>
        <v>0.95450704225352012</v>
      </c>
      <c r="AG52" s="615"/>
    </row>
    <row r="53" spans="1:33" ht="15.75" customHeight="1">
      <c r="A53" s="630" t="s">
        <v>2492</v>
      </c>
      <c r="B53" s="29" t="s">
        <v>15</v>
      </c>
      <c r="C53" s="622" t="s">
        <v>841</v>
      </c>
      <c r="D53" s="623"/>
      <c r="E53" s="29">
        <v>54.09</v>
      </c>
      <c r="F53" s="32">
        <v>1464</v>
      </c>
      <c r="G53" s="490">
        <f t="shared" si="35"/>
        <v>79187.760000000009</v>
      </c>
      <c r="H53" s="33" t="s">
        <v>57</v>
      </c>
      <c r="I53" s="493">
        <v>13</v>
      </c>
      <c r="J53" s="31">
        <v>2000</v>
      </c>
      <c r="K53" s="12">
        <f t="shared" si="1"/>
        <v>153.84615384615384</v>
      </c>
      <c r="L53" s="493">
        <v>13</v>
      </c>
      <c r="M53" s="13">
        <f t="shared" si="39"/>
        <v>1909.5652173913043</v>
      </c>
      <c r="N53" s="13">
        <f t="shared" si="3"/>
        <v>146.8896321070234</v>
      </c>
      <c r="O53" s="14">
        <f t="shared" si="4"/>
        <v>0</v>
      </c>
      <c r="P53" s="15">
        <f t="shared" si="5"/>
        <v>-6.9565217391304373</v>
      </c>
      <c r="Q53" s="498">
        <f t="shared" si="6"/>
        <v>0.95478260869565212</v>
      </c>
      <c r="R53" s="615"/>
      <c r="S53" s="34">
        <v>0.76250000000000007</v>
      </c>
      <c r="T53" s="34">
        <v>0.79444444444444451</v>
      </c>
      <c r="U53" s="490">
        <f t="shared" si="38"/>
        <v>6.9999999999999751</v>
      </c>
      <c r="V53" s="491">
        <f t="shared" si="37"/>
        <v>46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-90.434782608695741</v>
      </c>
      <c r="AF53" s="498">
        <f t="shared" si="9"/>
        <v>0.95478260869565212</v>
      </c>
      <c r="AG53" s="615"/>
    </row>
    <row r="54" spans="1:33" ht="15.75" customHeight="1">
      <c r="A54" s="630" t="s">
        <v>2492</v>
      </c>
      <c r="B54" s="29" t="s">
        <v>15</v>
      </c>
      <c r="C54" s="622" t="s">
        <v>85</v>
      </c>
      <c r="D54" s="623"/>
      <c r="E54" s="29">
        <v>56.43</v>
      </c>
      <c r="F54" s="32">
        <v>1550</v>
      </c>
      <c r="G54" s="490">
        <f t="shared" si="35"/>
        <v>87466.5</v>
      </c>
      <c r="H54" s="33" t="s">
        <v>57</v>
      </c>
      <c r="I54" s="493">
        <v>13</v>
      </c>
      <c r="J54" s="31">
        <v>2000</v>
      </c>
      <c r="K54" s="12">
        <f t="shared" si="1"/>
        <v>153.84615384615384</v>
      </c>
      <c r="L54" s="493">
        <v>13</v>
      </c>
      <c r="M54" s="13">
        <f t="shared" si="39"/>
        <v>1937.5000000000007</v>
      </c>
      <c r="N54" s="13">
        <f t="shared" si="3"/>
        <v>149.0384615384616</v>
      </c>
      <c r="O54" s="14">
        <f t="shared" si="4"/>
        <v>0</v>
      </c>
      <c r="P54" s="15">
        <f t="shared" si="5"/>
        <v>-4.8076923076922355</v>
      </c>
      <c r="Q54" s="498">
        <f t="shared" si="6"/>
        <v>0.96875000000000044</v>
      </c>
      <c r="R54" s="615"/>
      <c r="S54" s="34">
        <v>0.7993055555555556</v>
      </c>
      <c r="T54" s="34">
        <v>0.83263888888888893</v>
      </c>
      <c r="U54" s="490">
        <f t="shared" si="38"/>
        <v>6.9999999999999751</v>
      </c>
      <c r="V54" s="491">
        <f t="shared" si="37"/>
        <v>47.999999999999986</v>
      </c>
      <c r="W54" s="16"/>
      <c r="X54" s="16"/>
      <c r="Y54" s="19"/>
      <c r="Z54" s="19"/>
      <c r="AA54" s="624"/>
      <c r="AB54" s="625"/>
      <c r="AC54" s="35"/>
      <c r="AD54" s="18"/>
      <c r="AE54" s="14">
        <f t="shared" si="8"/>
        <v>-62.499999999999318</v>
      </c>
      <c r="AF54" s="498">
        <f t="shared" si="9"/>
        <v>0.96875000000000033</v>
      </c>
      <c r="AG54" s="615"/>
    </row>
    <row r="55" spans="1:33">
      <c r="A55" s="631" t="s">
        <v>2492</v>
      </c>
      <c r="B55" s="29" t="s">
        <v>2485</v>
      </c>
      <c r="C55" s="618"/>
      <c r="D55" s="618"/>
      <c r="E55" s="496"/>
      <c r="F55" s="30"/>
      <c r="G55" s="12"/>
      <c r="H55" s="492"/>
      <c r="I55" s="23">
        <v>16.714285714285715</v>
      </c>
      <c r="J55" s="31">
        <v>2000</v>
      </c>
      <c r="K55" s="12">
        <f t="shared" si="1"/>
        <v>119.65811965811965</v>
      </c>
      <c r="L55" s="23">
        <v>16.714285714285715</v>
      </c>
      <c r="M55" s="13">
        <f>AVERAGE(M48:M54)</f>
        <v>1921.3835395837198</v>
      </c>
      <c r="N55" s="12">
        <f t="shared" si="3"/>
        <v>114.95457074432511</v>
      </c>
      <c r="O55" s="14">
        <f t="shared" si="4"/>
        <v>0</v>
      </c>
      <c r="P55" s="15">
        <f t="shared" si="5"/>
        <v>-4.7035489137945348</v>
      </c>
      <c r="Q55" s="498">
        <f t="shared" si="6"/>
        <v>0.96069176979186</v>
      </c>
      <c r="R55" s="615"/>
      <c r="S55" s="34"/>
      <c r="T55" s="34"/>
      <c r="U55" s="490"/>
      <c r="V55" s="491"/>
      <c r="W55" s="12"/>
      <c r="X55" s="12"/>
      <c r="Y55" s="24">
        <f>SUM(Y48:Y54)</f>
        <v>0</v>
      </c>
      <c r="Z55" s="24">
        <f>SUM(Z48:Z54)</f>
        <v>0</v>
      </c>
      <c r="AA55" s="614"/>
      <c r="AB55" s="614"/>
      <c r="AC55" s="24">
        <v>7</v>
      </c>
      <c r="AD55" s="24">
        <f>SUM(AD48:AD54)</f>
        <v>0</v>
      </c>
      <c r="AE55" s="14">
        <f>M55-J55</f>
        <v>-78.616460416280233</v>
      </c>
      <c r="AF55" s="498">
        <f t="shared" si="9"/>
        <v>0.96069176979185988</v>
      </c>
      <c r="AG55" s="615"/>
    </row>
    <row r="56" spans="1:33" ht="15.75" customHeight="1">
      <c r="A56" s="626" t="s">
        <v>2493</v>
      </c>
      <c r="B56" s="492" t="s">
        <v>40</v>
      </c>
      <c r="C56" s="616" t="s">
        <v>49</v>
      </c>
      <c r="D56" s="616"/>
      <c r="E56" s="29">
        <v>34.36</v>
      </c>
      <c r="F56" s="32">
        <v>2093</v>
      </c>
      <c r="G56" s="490">
        <f t="shared" ref="G56:G59" si="40">E56*F56</f>
        <v>71915.48</v>
      </c>
      <c r="H56" s="33" t="s">
        <v>57</v>
      </c>
      <c r="I56" s="493">
        <v>10</v>
      </c>
      <c r="J56" s="31">
        <v>3000</v>
      </c>
      <c r="K56" s="12">
        <f t="shared" si="1"/>
        <v>300</v>
      </c>
      <c r="L56" s="493">
        <v>10</v>
      </c>
      <c r="M56" s="13">
        <f t="shared" ref="M56:M59" si="41">F56/V56*60</f>
        <v>2920.4651162790692</v>
      </c>
      <c r="N56" s="12">
        <f t="shared" si="3"/>
        <v>292.04651162790691</v>
      </c>
      <c r="O56" s="14">
        <f t="shared" si="4"/>
        <v>0</v>
      </c>
      <c r="P56" s="15">
        <f t="shared" si="5"/>
        <v>-7.9534883720930907</v>
      </c>
      <c r="Q56" s="498">
        <f t="shared" si="6"/>
        <v>0.97348837209302308</v>
      </c>
      <c r="R56" s="615">
        <f>Q60</f>
        <v>0.96261474383236234</v>
      </c>
      <c r="S56" s="34">
        <v>0.20833333333333334</v>
      </c>
      <c r="T56" s="34">
        <v>0.23819444444444446</v>
      </c>
      <c r="U56" s="490"/>
      <c r="V56" s="491">
        <f t="shared" ref="V56:V59" si="42">(T56-S56)*24*60</f>
        <v>43.000000000000007</v>
      </c>
      <c r="W56" s="16"/>
      <c r="X56" s="16"/>
      <c r="Y56" s="21"/>
      <c r="Z56" s="21"/>
      <c r="AA56" s="617"/>
      <c r="AB56" s="617"/>
      <c r="AC56" s="35">
        <v>4</v>
      </c>
      <c r="AD56" s="18"/>
      <c r="AE56" s="14">
        <f t="shared" ref="AE56:AE66" si="43">M56-J56</f>
        <v>-79.534883720930793</v>
      </c>
      <c r="AF56" s="498">
        <f t="shared" si="9"/>
        <v>0.97348837209302308</v>
      </c>
      <c r="AG56" s="615">
        <f>AF60</f>
        <v>0.96261474383236223</v>
      </c>
    </row>
    <row r="57" spans="1:33" ht="15.75" customHeight="1">
      <c r="A57" s="626" t="s">
        <v>2493</v>
      </c>
      <c r="B57" s="492" t="s">
        <v>40</v>
      </c>
      <c r="C57" s="616" t="s">
        <v>51</v>
      </c>
      <c r="D57" s="616"/>
      <c r="E57" s="29">
        <v>26.78</v>
      </c>
      <c r="F57" s="32">
        <v>2499</v>
      </c>
      <c r="G57" s="490">
        <f t="shared" si="40"/>
        <v>66923.22</v>
      </c>
      <c r="H57" s="33" t="s">
        <v>57</v>
      </c>
      <c r="I57" s="493">
        <v>10</v>
      </c>
      <c r="J57" s="31">
        <v>3000</v>
      </c>
      <c r="K57" s="12">
        <f t="shared" si="1"/>
        <v>300</v>
      </c>
      <c r="L57" s="493">
        <v>10</v>
      </c>
      <c r="M57" s="13">
        <f t="shared" si="41"/>
        <v>2883.4615384615399</v>
      </c>
      <c r="N57" s="12">
        <f t="shared" si="3"/>
        <v>288.34615384615398</v>
      </c>
      <c r="O57" s="14">
        <f t="shared" si="4"/>
        <v>0</v>
      </c>
      <c r="P57" s="15">
        <f t="shared" si="5"/>
        <v>-11.653846153846018</v>
      </c>
      <c r="Q57" s="498">
        <f t="shared" si="6"/>
        <v>0.96115384615384658</v>
      </c>
      <c r="R57" s="615"/>
      <c r="S57" s="34">
        <v>0.24305555555555558</v>
      </c>
      <c r="T57" s="34">
        <v>0.27916666666666667</v>
      </c>
      <c r="U57" s="490">
        <f t="shared" ref="U57:U59" si="44">(S57-T56)*24*60</f>
        <v>7.0000000000000151</v>
      </c>
      <c r="V57" s="491">
        <f t="shared" si="42"/>
        <v>51.999999999999972</v>
      </c>
      <c r="W57" s="490"/>
      <c r="X57" s="490"/>
      <c r="Y57" s="490"/>
      <c r="Z57" s="490"/>
      <c r="AA57" s="617"/>
      <c r="AB57" s="617"/>
      <c r="AC57" s="35"/>
      <c r="AD57" s="18"/>
      <c r="AE57" s="14">
        <f t="shared" si="43"/>
        <v>-116.53846153846007</v>
      </c>
      <c r="AF57" s="498">
        <f t="shared" si="9"/>
        <v>0.96115384615384669</v>
      </c>
      <c r="AG57" s="615"/>
    </row>
    <row r="58" spans="1:33" ht="15.75" customHeight="1">
      <c r="A58" s="626" t="s">
        <v>2493</v>
      </c>
      <c r="B58" s="492" t="s">
        <v>40</v>
      </c>
      <c r="C58" s="616" t="s">
        <v>52</v>
      </c>
      <c r="D58" s="616"/>
      <c r="E58" s="29">
        <v>35.869999999999997</v>
      </c>
      <c r="F58" s="32">
        <v>3783</v>
      </c>
      <c r="G58" s="490">
        <f t="shared" si="40"/>
        <v>135696.21</v>
      </c>
      <c r="H58" s="33" t="s">
        <v>57</v>
      </c>
      <c r="I58" s="493">
        <v>9</v>
      </c>
      <c r="J58" s="31">
        <v>3000</v>
      </c>
      <c r="K58" s="12">
        <f t="shared" si="1"/>
        <v>333.33333333333331</v>
      </c>
      <c r="L58" s="493">
        <v>9</v>
      </c>
      <c r="M58" s="13">
        <f t="shared" si="41"/>
        <v>2873.1645569620237</v>
      </c>
      <c r="N58" s="12">
        <f t="shared" si="3"/>
        <v>319.24050632911371</v>
      </c>
      <c r="O58" s="14">
        <f t="shared" si="4"/>
        <v>0</v>
      </c>
      <c r="P58" s="15">
        <f t="shared" si="5"/>
        <v>-14.0928270042196</v>
      </c>
      <c r="Q58" s="498">
        <f t="shared" si="6"/>
        <v>0.95772151898734115</v>
      </c>
      <c r="R58" s="615"/>
      <c r="S58" s="34">
        <v>0.28472222222222221</v>
      </c>
      <c r="T58" s="34">
        <v>0.33958333333333335</v>
      </c>
      <c r="U58" s="490">
        <f t="shared" si="44"/>
        <v>7.9999999999999716</v>
      </c>
      <c r="V58" s="491">
        <f t="shared" si="42"/>
        <v>79.000000000000043</v>
      </c>
      <c r="W58" s="490"/>
      <c r="X58" s="490"/>
      <c r="Y58" s="490"/>
      <c r="Z58" s="490"/>
      <c r="AA58" s="617"/>
      <c r="AB58" s="617"/>
      <c r="AC58" s="35"/>
      <c r="AD58" s="18"/>
      <c r="AE58" s="14">
        <f t="shared" si="43"/>
        <v>-126.83544303797635</v>
      </c>
      <c r="AF58" s="498">
        <f t="shared" si="9"/>
        <v>0.95772151898734126</v>
      </c>
      <c r="AG58" s="615"/>
    </row>
    <row r="59" spans="1:33" ht="15.75" customHeight="1">
      <c r="A59" s="626" t="s">
        <v>2493</v>
      </c>
      <c r="B59" s="492" t="s">
        <v>40</v>
      </c>
      <c r="C59" s="616" t="s">
        <v>53</v>
      </c>
      <c r="D59" s="616"/>
      <c r="E59" s="29">
        <v>34.35</v>
      </c>
      <c r="F59" s="32">
        <v>2012</v>
      </c>
      <c r="G59" s="490">
        <f t="shared" si="40"/>
        <v>69112.2</v>
      </c>
      <c r="H59" s="33" t="s">
        <v>57</v>
      </c>
      <c r="I59" s="493">
        <v>8</v>
      </c>
      <c r="J59" s="31">
        <v>3000</v>
      </c>
      <c r="K59" s="12">
        <f t="shared" si="1"/>
        <v>375</v>
      </c>
      <c r="L59" s="493">
        <v>8</v>
      </c>
      <c r="M59" s="13">
        <f t="shared" si="41"/>
        <v>2874.2857142857133</v>
      </c>
      <c r="N59" s="12">
        <f t="shared" si="3"/>
        <v>359.28571428571416</v>
      </c>
      <c r="O59" s="14">
        <f t="shared" si="4"/>
        <v>0</v>
      </c>
      <c r="P59" s="15">
        <f t="shared" si="5"/>
        <v>-15.714285714285836</v>
      </c>
      <c r="Q59" s="498">
        <f t="shared" si="6"/>
        <v>0.95809523809523778</v>
      </c>
      <c r="R59" s="615"/>
      <c r="S59" s="34">
        <v>0.34375</v>
      </c>
      <c r="T59" s="34">
        <v>0.37291666666666667</v>
      </c>
      <c r="U59" s="490">
        <f t="shared" si="44"/>
        <v>5.9999999999999787</v>
      </c>
      <c r="V59" s="491">
        <f t="shared" si="42"/>
        <v>42.000000000000014</v>
      </c>
      <c r="W59" s="490"/>
      <c r="X59" s="490"/>
      <c r="Y59" s="490"/>
      <c r="Z59" s="490"/>
      <c r="AA59" s="617"/>
      <c r="AB59" s="617"/>
      <c r="AC59" s="35"/>
      <c r="AD59" s="18"/>
      <c r="AE59" s="14">
        <f t="shared" si="43"/>
        <v>-125.71428571428669</v>
      </c>
      <c r="AF59" s="498">
        <f t="shared" si="9"/>
        <v>0.95809523809523778</v>
      </c>
      <c r="AG59" s="615"/>
    </row>
    <row r="60" spans="1:33">
      <c r="A60" s="627" t="s">
        <v>2493</v>
      </c>
      <c r="B60" s="29" t="s">
        <v>2485</v>
      </c>
      <c r="C60" s="618"/>
      <c r="D60" s="618"/>
      <c r="E60" s="496"/>
      <c r="F60" s="30"/>
      <c r="G60" s="12"/>
      <c r="H60" s="492"/>
      <c r="I60" s="23">
        <v>9.25</v>
      </c>
      <c r="J60" s="31">
        <v>3000</v>
      </c>
      <c r="K60" s="12">
        <f t="shared" si="1"/>
        <v>324.32432432432432</v>
      </c>
      <c r="L60" s="23">
        <v>9.25</v>
      </c>
      <c r="M60" s="13">
        <f>AVERAGE(M56:M59)</f>
        <v>2887.8442314970866</v>
      </c>
      <c r="N60" s="12">
        <f t="shared" si="3"/>
        <v>312.19937637806345</v>
      </c>
      <c r="O60" s="14">
        <f t="shared" si="4"/>
        <v>0</v>
      </c>
      <c r="P60" s="15">
        <f t="shared" si="5"/>
        <v>-12.124947946260875</v>
      </c>
      <c r="Q60" s="498">
        <f t="shared" si="6"/>
        <v>0.96261474383236234</v>
      </c>
      <c r="R60" s="615"/>
      <c r="S60" s="34"/>
      <c r="T60" s="34"/>
      <c r="U60" s="12"/>
      <c r="V60" s="491"/>
      <c r="W60" s="12"/>
      <c r="X60" s="12"/>
      <c r="Y60" s="24">
        <f>SUM(Y56:Y59)</f>
        <v>0</v>
      </c>
      <c r="Z60" s="24">
        <f>SUM(Z56:Z59)</f>
        <v>0</v>
      </c>
      <c r="AA60" s="614"/>
      <c r="AB60" s="614"/>
      <c r="AC60" s="24">
        <v>4</v>
      </c>
      <c r="AD60" s="24">
        <f>SUM(AD56:AD59)</f>
        <v>0</v>
      </c>
      <c r="AE60" s="14">
        <f t="shared" si="43"/>
        <v>-112.15576850291336</v>
      </c>
      <c r="AF60" s="498">
        <f t="shared" si="9"/>
        <v>0.96261474383236223</v>
      </c>
      <c r="AG60" s="615"/>
    </row>
    <row r="61" spans="1:33" ht="15.75" customHeight="1">
      <c r="A61" s="619" t="s">
        <v>2494</v>
      </c>
      <c r="B61" s="492" t="s">
        <v>32</v>
      </c>
      <c r="C61" s="616" t="s">
        <v>56</v>
      </c>
      <c r="D61" s="616"/>
      <c r="E61" s="29">
        <v>19.02</v>
      </c>
      <c r="F61" s="492">
        <v>8709</v>
      </c>
      <c r="G61" s="490">
        <f t="shared" ref="G61:G65" si="45">E61*F61</f>
        <v>165645.18</v>
      </c>
      <c r="H61" s="33" t="s">
        <v>57</v>
      </c>
      <c r="I61" s="493">
        <v>14</v>
      </c>
      <c r="J61" s="31">
        <v>2400</v>
      </c>
      <c r="K61" s="12">
        <f t="shared" si="1"/>
        <v>171.42857142857142</v>
      </c>
      <c r="L61" s="493">
        <v>14</v>
      </c>
      <c r="M61" s="13">
        <f t="shared" ref="M61:M65" si="46">F61/V61*60</f>
        <v>2291.8421052631579</v>
      </c>
      <c r="N61" s="12">
        <f t="shared" si="3"/>
        <v>163.70300751879699</v>
      </c>
      <c r="O61" s="14">
        <f t="shared" si="4"/>
        <v>0</v>
      </c>
      <c r="P61" s="15">
        <f t="shared" si="5"/>
        <v>-7.7255639097744222</v>
      </c>
      <c r="Q61" s="498">
        <f t="shared" si="6"/>
        <v>0.95493421052631589</v>
      </c>
      <c r="R61" s="615">
        <f>Q66</f>
        <v>0.95902418660767097</v>
      </c>
      <c r="S61" s="34">
        <v>8.3333333333333329E-2</v>
      </c>
      <c r="T61" s="34">
        <v>0.24166666666666664</v>
      </c>
      <c r="U61" s="21"/>
      <c r="V61" s="491">
        <f t="shared" ref="V61:V65" si="47">(T61-S61)*24*60</f>
        <v>228</v>
      </c>
      <c r="W61" s="16">
        <f>T61</f>
        <v>0.24166666666666664</v>
      </c>
      <c r="X61" s="16">
        <f>S62</f>
        <v>0.26111111111111107</v>
      </c>
      <c r="Y61" s="16"/>
      <c r="Z61" s="16"/>
      <c r="AA61" s="617"/>
      <c r="AB61" s="617"/>
      <c r="AC61" s="35">
        <v>5</v>
      </c>
      <c r="AD61" s="18"/>
      <c r="AE61" s="14">
        <f t="shared" si="43"/>
        <v>-108.15789473684208</v>
      </c>
      <c r="AF61" s="498">
        <f t="shared" si="9"/>
        <v>0.95493421052631577</v>
      </c>
      <c r="AG61" s="615">
        <f>AF66</f>
        <v>0.95902418660767086</v>
      </c>
    </row>
    <row r="62" spans="1:33" ht="15.75" customHeight="1">
      <c r="A62" s="620" t="s">
        <v>2494</v>
      </c>
      <c r="B62" s="492" t="s">
        <v>32</v>
      </c>
      <c r="C62" s="616" t="s">
        <v>36</v>
      </c>
      <c r="D62" s="616"/>
      <c r="E62" s="29">
        <v>20.36</v>
      </c>
      <c r="F62" s="492">
        <v>3416</v>
      </c>
      <c r="G62" s="490">
        <f t="shared" si="45"/>
        <v>69549.759999999995</v>
      </c>
      <c r="H62" s="33" t="s">
        <v>57</v>
      </c>
      <c r="I62" s="493">
        <v>17</v>
      </c>
      <c r="J62" s="31">
        <v>2400</v>
      </c>
      <c r="K62" s="12">
        <f t="shared" si="1"/>
        <v>141.1764705882353</v>
      </c>
      <c r="L62" s="493">
        <v>17</v>
      </c>
      <c r="M62" s="13">
        <f t="shared" si="46"/>
        <v>2302.9213483146068</v>
      </c>
      <c r="N62" s="12">
        <f t="shared" si="3"/>
        <v>135.46596166556512</v>
      </c>
      <c r="O62" s="14">
        <f t="shared" si="4"/>
        <v>0</v>
      </c>
      <c r="P62" s="15">
        <f t="shared" si="5"/>
        <v>-5.7105089226701864</v>
      </c>
      <c r="Q62" s="498">
        <f t="shared" si="6"/>
        <v>0.95955056179775289</v>
      </c>
      <c r="R62" s="615"/>
      <c r="S62" s="34">
        <v>0.26111111111111107</v>
      </c>
      <c r="T62" s="34">
        <v>0.32291666666666663</v>
      </c>
      <c r="U62" s="490">
        <f t="shared" ref="U62:U65" si="48">(S62-T61)*24*60</f>
        <v>27.999999999999979</v>
      </c>
      <c r="V62" s="491">
        <f t="shared" si="47"/>
        <v>89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-97.078651685393197</v>
      </c>
      <c r="AF62" s="498">
        <f t="shared" si="9"/>
        <v>0.95955056179775289</v>
      </c>
      <c r="AG62" s="615"/>
    </row>
    <row r="63" spans="1:33" ht="15.75" customHeight="1">
      <c r="A63" s="620" t="s">
        <v>2494</v>
      </c>
      <c r="B63" s="492" t="s">
        <v>32</v>
      </c>
      <c r="C63" s="616" t="s">
        <v>54</v>
      </c>
      <c r="D63" s="616"/>
      <c r="E63" s="29">
        <v>20.21</v>
      </c>
      <c r="F63" s="492">
        <v>2475</v>
      </c>
      <c r="G63" s="490">
        <f t="shared" si="45"/>
        <v>50019.75</v>
      </c>
      <c r="H63" s="33" t="s">
        <v>57</v>
      </c>
      <c r="I63" s="493">
        <v>15</v>
      </c>
      <c r="J63" s="31">
        <v>2400</v>
      </c>
      <c r="K63" s="12">
        <f t="shared" si="1"/>
        <v>160</v>
      </c>
      <c r="L63" s="493">
        <v>15</v>
      </c>
      <c r="M63" s="13">
        <f t="shared" si="46"/>
        <v>2320.3124999999995</v>
      </c>
      <c r="N63" s="12">
        <f t="shared" si="3"/>
        <v>154.68749999999997</v>
      </c>
      <c r="O63" s="14">
        <f t="shared" si="4"/>
        <v>0</v>
      </c>
      <c r="P63" s="15">
        <f t="shared" si="5"/>
        <v>-5.3125000000000284</v>
      </c>
      <c r="Q63" s="498">
        <f t="shared" si="6"/>
        <v>0.96679687499999978</v>
      </c>
      <c r="R63" s="615"/>
      <c r="S63" s="34">
        <v>0.32847222222222217</v>
      </c>
      <c r="T63" s="34">
        <v>0.37291666666666662</v>
      </c>
      <c r="U63" s="490">
        <f t="shared" si="48"/>
        <v>7.9999999999999716</v>
      </c>
      <c r="V63" s="491">
        <f t="shared" si="47"/>
        <v>64.000000000000014</v>
      </c>
      <c r="W63" s="16"/>
      <c r="X63" s="16"/>
      <c r="Y63" s="16"/>
      <c r="Z63" s="16"/>
      <c r="AA63" s="617"/>
      <c r="AB63" s="617"/>
      <c r="AC63" s="35"/>
      <c r="AD63" s="18"/>
      <c r="AE63" s="14">
        <f t="shared" si="43"/>
        <v>-79.687500000000455</v>
      </c>
      <c r="AF63" s="498">
        <f t="shared" si="9"/>
        <v>0.96679687499999978</v>
      </c>
      <c r="AG63" s="615"/>
    </row>
    <row r="64" spans="1:33" ht="15.75" customHeight="1">
      <c r="A64" s="620" t="s">
        <v>2494</v>
      </c>
      <c r="B64" s="492" t="s">
        <v>32</v>
      </c>
      <c r="C64" s="616" t="s">
        <v>55</v>
      </c>
      <c r="D64" s="616"/>
      <c r="E64" s="29">
        <v>22.69</v>
      </c>
      <c r="F64" s="492">
        <v>2403</v>
      </c>
      <c r="G64" s="490">
        <f t="shared" si="45"/>
        <v>54524.07</v>
      </c>
      <c r="H64" s="33" t="s">
        <v>57</v>
      </c>
      <c r="I64" s="493">
        <v>15</v>
      </c>
      <c r="J64" s="31">
        <v>2400</v>
      </c>
      <c r="K64" s="12">
        <f t="shared" si="1"/>
        <v>160</v>
      </c>
      <c r="L64" s="493">
        <v>15</v>
      </c>
      <c r="M64" s="13">
        <f t="shared" si="46"/>
        <v>2288.571428571428</v>
      </c>
      <c r="N64" s="12">
        <f t="shared" si="3"/>
        <v>152.57142857142853</v>
      </c>
      <c r="O64" s="14">
        <f t="shared" si="4"/>
        <v>0</v>
      </c>
      <c r="P64" s="15">
        <f t="shared" si="5"/>
        <v>-7.4285714285714732</v>
      </c>
      <c r="Q64" s="498">
        <f t="shared" si="6"/>
        <v>0.95357142857142829</v>
      </c>
      <c r="R64" s="615"/>
      <c r="S64" s="34">
        <v>0.37638888888888883</v>
      </c>
      <c r="T64" s="34">
        <v>0.42013888888888884</v>
      </c>
      <c r="U64" s="490">
        <f t="shared" si="48"/>
        <v>4.9999999999999822</v>
      </c>
      <c r="V64" s="491">
        <f t="shared" si="47"/>
        <v>63.000000000000014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-111.42857142857201</v>
      </c>
      <c r="AF64" s="498">
        <f t="shared" si="9"/>
        <v>0.95357142857142829</v>
      </c>
      <c r="AG64" s="615"/>
    </row>
    <row r="65" spans="1:33" ht="15.75" customHeight="1">
      <c r="A65" s="620" t="s">
        <v>2494</v>
      </c>
      <c r="B65" s="492" t="s">
        <v>32</v>
      </c>
      <c r="C65" s="616" t="s">
        <v>949</v>
      </c>
      <c r="D65" s="616"/>
      <c r="E65" s="29">
        <v>25.98</v>
      </c>
      <c r="F65" s="492">
        <v>4302</v>
      </c>
      <c r="G65" s="490">
        <f t="shared" si="45"/>
        <v>111765.96</v>
      </c>
      <c r="H65" s="33" t="s">
        <v>57</v>
      </c>
      <c r="I65" s="493">
        <v>17</v>
      </c>
      <c r="J65" s="31">
        <v>2400</v>
      </c>
      <c r="K65" s="12">
        <f t="shared" si="1"/>
        <v>141.1764705882353</v>
      </c>
      <c r="L65" s="493">
        <v>17</v>
      </c>
      <c r="M65" s="13">
        <f t="shared" si="46"/>
        <v>2304.6428571428587</v>
      </c>
      <c r="N65" s="12">
        <f t="shared" si="3"/>
        <v>135.56722689075639</v>
      </c>
      <c r="O65" s="14">
        <f t="shared" si="4"/>
        <v>0</v>
      </c>
      <c r="P65" s="15">
        <f t="shared" si="5"/>
        <v>-5.6092436974789166</v>
      </c>
      <c r="Q65" s="498">
        <f t="shared" si="6"/>
        <v>0.96026785714285767</v>
      </c>
      <c r="R65" s="615"/>
      <c r="S65" s="34">
        <v>0.42430555555555549</v>
      </c>
      <c r="T65" s="34">
        <v>0.50208333333333321</v>
      </c>
      <c r="U65" s="490">
        <f t="shared" si="48"/>
        <v>5.9999999999999787</v>
      </c>
      <c r="V65" s="491">
        <f t="shared" si="47"/>
        <v>111.99999999999991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-95.357142857141298</v>
      </c>
      <c r="AF65" s="498">
        <f t="shared" si="9"/>
        <v>0.96026785714285778</v>
      </c>
      <c r="AG65" s="615"/>
    </row>
    <row r="66" spans="1:33" ht="16.5" customHeight="1">
      <c r="A66" s="621" t="s">
        <v>2494</v>
      </c>
      <c r="B66" s="29" t="s">
        <v>2485</v>
      </c>
      <c r="C66" s="612"/>
      <c r="D66" s="613"/>
      <c r="E66" s="496"/>
      <c r="F66" s="30"/>
      <c r="G66" s="12"/>
      <c r="H66" s="492"/>
      <c r="I66" s="23">
        <v>15.6</v>
      </c>
      <c r="J66" s="31">
        <v>2400</v>
      </c>
      <c r="K66" s="12">
        <f t="shared" si="1"/>
        <v>153.84615384615384</v>
      </c>
      <c r="L66" s="23">
        <v>15.6</v>
      </c>
      <c r="M66" s="13">
        <f>AVERAGE(M61:M65)</f>
        <v>2301.6580478584101</v>
      </c>
      <c r="N66" s="12">
        <f t="shared" si="3"/>
        <v>147.5421825550263</v>
      </c>
      <c r="O66" s="14">
        <f t="shared" si="4"/>
        <v>0</v>
      </c>
      <c r="P66" s="15">
        <f t="shared" si="5"/>
        <v>-6.3039712911275387</v>
      </c>
      <c r="Q66" s="498">
        <f t="shared" si="6"/>
        <v>0.95902418660767097</v>
      </c>
      <c r="R66" s="615"/>
      <c r="S66" s="34"/>
      <c r="T66" s="34"/>
      <c r="U66" s="12"/>
      <c r="V66" s="491"/>
      <c r="W66" s="12"/>
      <c r="X66" s="12"/>
      <c r="Y66" s="24">
        <f>SUM(Y61:Y65)</f>
        <v>0</v>
      </c>
      <c r="Z66" s="24">
        <f>SUM(Z61:Z65)</f>
        <v>0</v>
      </c>
      <c r="AA66" s="614"/>
      <c r="AB66" s="614"/>
      <c r="AC66" s="24">
        <v>5</v>
      </c>
      <c r="AD66" s="24">
        <f>SUM(AD61:AD65)</f>
        <v>0</v>
      </c>
      <c r="AE66" s="14">
        <f t="shared" si="43"/>
        <v>-98.3419521415899</v>
      </c>
      <c r="AF66" s="498">
        <f t="shared" si="9"/>
        <v>0.95902418660767086</v>
      </c>
      <c r="AG66" s="615"/>
    </row>
    <row r="67" spans="1:33">
      <c r="D67" s="25"/>
      <c r="E67" s="25"/>
    </row>
  </sheetData>
  <mergeCells count="181"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6"/>
    <mergeCell ref="C61:D61"/>
    <mergeCell ref="R61:R66"/>
    <mergeCell ref="AA61:AB61"/>
    <mergeCell ref="AA66:AB66"/>
    <mergeCell ref="A56:A60"/>
    <mergeCell ref="C56:D56"/>
    <mergeCell ref="R56:R60"/>
    <mergeCell ref="AA56:AB56"/>
    <mergeCell ref="AG56:AG60"/>
    <mergeCell ref="C57:D57"/>
    <mergeCell ref="AA57:AB57"/>
    <mergeCell ref="C58:D58"/>
    <mergeCell ref="AA58:AB58"/>
    <mergeCell ref="C59:D59"/>
    <mergeCell ref="AA52:AB52"/>
    <mergeCell ref="C53:D53"/>
    <mergeCell ref="AA53:AB53"/>
    <mergeCell ref="C54:D54"/>
    <mergeCell ref="AA54:AB54"/>
    <mergeCell ref="C55:D55"/>
    <mergeCell ref="AA55:AB55"/>
    <mergeCell ref="AA59:AB59"/>
    <mergeCell ref="C60:D60"/>
    <mergeCell ref="AA60:AB60"/>
    <mergeCell ref="A48:A55"/>
    <mergeCell ref="C48:D48"/>
    <mergeCell ref="R48:R55"/>
    <mergeCell ref="AA48:AB48"/>
    <mergeCell ref="AG48:AG55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43:D43"/>
    <mergeCell ref="AA43:AB43"/>
    <mergeCell ref="AG36:AG43"/>
    <mergeCell ref="A44:A47"/>
    <mergeCell ref="C44:D44"/>
    <mergeCell ref="R44:R47"/>
    <mergeCell ref="AA44:AB44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C37:D37"/>
    <mergeCell ref="AA37:AB37"/>
    <mergeCell ref="C38:D38"/>
    <mergeCell ref="AA38:AB38"/>
    <mergeCell ref="C39:D39"/>
    <mergeCell ref="A29:A35"/>
    <mergeCell ref="C29:D29"/>
    <mergeCell ref="R29:R35"/>
    <mergeCell ref="AA29:AB29"/>
    <mergeCell ref="AA34:AB34"/>
    <mergeCell ref="C35:D35"/>
    <mergeCell ref="AA35:AB35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5:O56 O59:O66 O5:O9 O13:O15 O21:O53">
    <cfRule type="cellIs" dxfId="1719" priority="46" operator="greaterThan">
      <formula>0</formula>
    </cfRule>
  </conditionalFormatting>
  <conditionalFormatting sqref="P5:P7 P59 AE59 P61:P65 P29:P34 P56 P9 P13:P15 P22:P27 P48:P53 P36:P46 AE5:AE56 AE61:AE66">
    <cfRule type="cellIs" dxfId="1718" priority="50" operator="lessThan">
      <formula>0</formula>
    </cfRule>
  </conditionalFormatting>
  <conditionalFormatting sqref="AF59 Q55:Q56 Q59:Q66 Q5:Q9 Q13:Q15 Q21:Q53 AF5:AF56 AF61:AF66">
    <cfRule type="cellIs" dxfId="1717" priority="47" operator="greaterThan">
      <formula>1</formula>
    </cfRule>
    <cfRule type="cellIs" dxfId="1716" priority="48" operator="lessThan">
      <formula>0.8</formula>
    </cfRule>
  </conditionalFormatting>
  <conditionalFormatting sqref="AG14:AG15 R14:R15 AG59 AG55:AG56 R55:R56 R59:R66 AG5:AG9 R5:R9 AG21:AG53 R21:R53">
    <cfRule type="cellIs" dxfId="1715" priority="52" operator="lessThan">
      <formula>0.8</formula>
    </cfRule>
  </conditionalFormatting>
  <conditionalFormatting sqref="AG44">
    <cfRule type="cellIs" dxfId="1714" priority="54" operator="lessThan">
      <formula>0.8</formula>
    </cfRule>
  </conditionalFormatting>
  <conditionalFormatting sqref="AG22:AG27">
    <cfRule type="cellIs" dxfId="1713" priority="51" operator="lessThan">
      <formula>0.8</formula>
    </cfRule>
  </conditionalFormatting>
  <conditionalFormatting sqref="AG29">
    <cfRule type="cellIs" dxfId="1712" priority="53" operator="lessThan">
      <formula>0.8</formula>
    </cfRule>
  </conditionalFormatting>
  <conditionalFormatting sqref="AG36:AG42">
    <cfRule type="cellIs" dxfId="1711" priority="49" operator="lessThan">
      <formula>0.8</formula>
    </cfRule>
  </conditionalFormatting>
  <conditionalFormatting sqref="AE60">
    <cfRule type="cellIs" dxfId="1710" priority="45" operator="lessThan">
      <formula>0</formula>
    </cfRule>
  </conditionalFormatting>
  <conditionalFormatting sqref="AF60">
    <cfRule type="cellIs" dxfId="1709" priority="43" operator="greaterThan">
      <formula>1</formula>
    </cfRule>
    <cfRule type="cellIs" dxfId="1708" priority="44" operator="lessThan">
      <formula>0.8</formula>
    </cfRule>
  </conditionalFormatting>
  <conditionalFormatting sqref="O16:O17">
    <cfRule type="cellIs" dxfId="1707" priority="38" operator="greaterThan">
      <formula>0</formula>
    </cfRule>
  </conditionalFormatting>
  <conditionalFormatting sqref="P16:P17">
    <cfRule type="cellIs" dxfId="1706" priority="41" operator="lessThan">
      <formula>0</formula>
    </cfRule>
  </conditionalFormatting>
  <conditionalFormatting sqref="Q16:Q17">
    <cfRule type="cellIs" dxfId="1705" priority="39" operator="greaterThan">
      <formula>1</formula>
    </cfRule>
    <cfRule type="cellIs" dxfId="1704" priority="40" operator="lessThan">
      <formula>0.8</formula>
    </cfRule>
  </conditionalFormatting>
  <conditionalFormatting sqref="R16:R17 AG16:AG17">
    <cfRule type="cellIs" dxfId="1703" priority="42" operator="lessThan">
      <formula>0.8</formula>
    </cfRule>
  </conditionalFormatting>
  <conditionalFormatting sqref="O10:O12">
    <cfRule type="cellIs" dxfId="1702" priority="34" operator="greaterThan">
      <formula>0</formula>
    </cfRule>
  </conditionalFormatting>
  <conditionalFormatting sqref="P10:P12">
    <cfRule type="cellIs" dxfId="1701" priority="37" operator="lessThan">
      <formula>0</formula>
    </cfRule>
  </conditionalFormatting>
  <conditionalFormatting sqref="Q10:Q12">
    <cfRule type="cellIs" dxfId="1700" priority="35" operator="greaterThan">
      <formula>1</formula>
    </cfRule>
    <cfRule type="cellIs" dxfId="1699" priority="36" operator="lessThan">
      <formula>0.8</formula>
    </cfRule>
  </conditionalFormatting>
  <conditionalFormatting sqref="O54">
    <cfRule type="cellIs" dxfId="1698" priority="29" operator="greaterThan">
      <formula>0</formula>
    </cfRule>
  </conditionalFormatting>
  <conditionalFormatting sqref="P54">
    <cfRule type="cellIs" dxfId="1697" priority="32" operator="lessThan">
      <formula>0</formula>
    </cfRule>
  </conditionalFormatting>
  <conditionalFormatting sqref="Q54">
    <cfRule type="cellIs" dxfId="1696" priority="30" operator="greaterThan">
      <formula>1</formula>
    </cfRule>
    <cfRule type="cellIs" dxfId="1695" priority="31" operator="lessThan">
      <formula>0.8</formula>
    </cfRule>
  </conditionalFormatting>
  <conditionalFormatting sqref="R54 AG54">
    <cfRule type="cellIs" dxfId="1694" priority="33" operator="lessThan">
      <formula>0.8</formula>
    </cfRule>
  </conditionalFormatting>
  <conditionalFormatting sqref="O58">
    <cfRule type="cellIs" dxfId="1693" priority="24" operator="greaterThan">
      <formula>0</formula>
    </cfRule>
  </conditionalFormatting>
  <conditionalFormatting sqref="P58 AE58">
    <cfRule type="cellIs" dxfId="1692" priority="27" operator="lessThan">
      <formula>0</formula>
    </cfRule>
  </conditionalFormatting>
  <conditionalFormatting sqref="Q58 AF58">
    <cfRule type="cellIs" dxfId="1691" priority="25" operator="greaterThan">
      <formula>1</formula>
    </cfRule>
    <cfRule type="cellIs" dxfId="1690" priority="26" operator="lessThan">
      <formula>0.8</formula>
    </cfRule>
  </conditionalFormatting>
  <conditionalFormatting sqref="R58 AG58">
    <cfRule type="cellIs" dxfId="1689" priority="28" operator="lessThan">
      <formula>0.8</formula>
    </cfRule>
  </conditionalFormatting>
  <conditionalFormatting sqref="O18:O19">
    <cfRule type="cellIs" dxfId="1688" priority="19" operator="greaterThan">
      <formula>0</formula>
    </cfRule>
  </conditionalFormatting>
  <conditionalFormatting sqref="P18:P19">
    <cfRule type="cellIs" dxfId="1687" priority="22" operator="lessThan">
      <formula>0</formula>
    </cfRule>
  </conditionalFormatting>
  <conditionalFormatting sqref="Q18:Q19">
    <cfRule type="cellIs" dxfId="1686" priority="20" operator="greaterThan">
      <formula>1</formula>
    </cfRule>
    <cfRule type="cellIs" dxfId="1685" priority="21" operator="lessThan">
      <formula>0.8</formula>
    </cfRule>
  </conditionalFormatting>
  <conditionalFormatting sqref="R18:R19 AG18:AG19">
    <cfRule type="cellIs" dxfId="1684" priority="23" operator="lessThan">
      <formula>0.8</formula>
    </cfRule>
  </conditionalFormatting>
  <conditionalFormatting sqref="O57">
    <cfRule type="cellIs" dxfId="1683" priority="14" operator="greaterThan">
      <formula>0</formula>
    </cfRule>
  </conditionalFormatting>
  <conditionalFormatting sqref="P57 AE57">
    <cfRule type="cellIs" dxfId="1682" priority="17" operator="lessThan">
      <formula>0</formula>
    </cfRule>
  </conditionalFormatting>
  <conditionalFormatting sqref="Q57 AF57">
    <cfRule type="cellIs" dxfId="1681" priority="15" operator="greaterThan">
      <formula>1</formula>
    </cfRule>
    <cfRule type="cellIs" dxfId="1680" priority="16" operator="lessThan">
      <formula>0.8</formula>
    </cfRule>
  </conditionalFormatting>
  <conditionalFormatting sqref="R57 AG57">
    <cfRule type="cellIs" dxfId="1679" priority="18" operator="lessThan">
      <formula>0.8</formula>
    </cfRule>
  </conditionalFormatting>
  <conditionalFormatting sqref="O20">
    <cfRule type="cellIs" dxfId="1678" priority="9" operator="greaterThan">
      <formula>0</formula>
    </cfRule>
  </conditionalFormatting>
  <conditionalFormatting sqref="P20">
    <cfRule type="cellIs" dxfId="1677" priority="12" operator="lessThan">
      <formula>0</formula>
    </cfRule>
  </conditionalFormatting>
  <conditionalFormatting sqref="Q20">
    <cfRule type="cellIs" dxfId="1676" priority="10" operator="greaterThan">
      <formula>1</formula>
    </cfRule>
    <cfRule type="cellIs" dxfId="1675" priority="11" operator="lessThan">
      <formula>0.8</formula>
    </cfRule>
  </conditionalFormatting>
  <conditionalFormatting sqref="AG20 R20">
    <cfRule type="cellIs" dxfId="1674" priority="13" operator="lessThan">
      <formula>0.8</formula>
    </cfRule>
  </conditionalFormatting>
  <conditionalFormatting sqref="P8">
    <cfRule type="cellIs" dxfId="1673" priority="8" operator="lessThan">
      <formula>0</formula>
    </cfRule>
  </conditionalFormatting>
  <conditionalFormatting sqref="P21">
    <cfRule type="cellIs" dxfId="1672" priority="7" operator="lessThan">
      <formula>0</formula>
    </cfRule>
  </conditionalFormatting>
  <conditionalFormatting sqref="P28">
    <cfRule type="cellIs" dxfId="1671" priority="6" operator="lessThan">
      <formula>0</formula>
    </cfRule>
  </conditionalFormatting>
  <conditionalFormatting sqref="P35">
    <cfRule type="cellIs" dxfId="1670" priority="5" operator="lessThan">
      <formula>0</formula>
    </cfRule>
  </conditionalFormatting>
  <conditionalFormatting sqref="P47">
    <cfRule type="cellIs" dxfId="1669" priority="4" operator="lessThan">
      <formula>0</formula>
    </cfRule>
  </conditionalFormatting>
  <conditionalFormatting sqref="P55">
    <cfRule type="cellIs" dxfId="1668" priority="3" operator="lessThan">
      <formula>0</formula>
    </cfRule>
  </conditionalFormatting>
  <conditionalFormatting sqref="P60">
    <cfRule type="cellIs" dxfId="1667" priority="2" operator="lessThan">
      <formula>0</formula>
    </cfRule>
  </conditionalFormatting>
  <conditionalFormatting sqref="P66">
    <cfRule type="cellIs" dxfId="1666" priority="1" operator="lessThan">
      <formula>0</formula>
    </cfRule>
  </conditionalFormatting>
  <dataValidations count="1">
    <dataValidation type="list" allowBlank="1" showInputMessage="1" showErrorMessage="1" sqref="AB8 AA5:AB7 AA8:AA59 AB10:AB56 AA60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sqref="A1:XFD1048576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2285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2286</v>
      </c>
      <c r="C3" s="601" t="str">
        <f>TEXT('0626 4度C'!A2,"yyyy.mm.ddaaaa")</f>
        <v>2026.06.26星期五</v>
      </c>
      <c r="D3" s="602"/>
      <c r="E3" s="39" t="s">
        <v>2287</v>
      </c>
      <c r="F3" s="603">
        <f>'0626 4度C'!D1</f>
        <v>146893</v>
      </c>
      <c r="G3" s="604"/>
      <c r="H3" s="39" t="s">
        <v>2288</v>
      </c>
      <c r="I3" s="605">
        <f>'0626 4度C'!F1</f>
        <v>5051396.62</v>
      </c>
      <c r="J3" s="606"/>
      <c r="K3" s="40"/>
      <c r="L3" s="41"/>
      <c r="M3" s="42"/>
      <c r="N3" s="42"/>
    </row>
    <row r="4" spans="2:17" ht="28.5" customHeight="1">
      <c r="B4" s="607" t="s">
        <v>2289</v>
      </c>
      <c r="C4" s="593" t="s">
        <v>2290</v>
      </c>
      <c r="D4" s="594"/>
      <c r="E4" s="610" t="s">
        <v>2291</v>
      </c>
      <c r="F4" s="611"/>
      <c r="G4" s="610" t="s">
        <v>2292</v>
      </c>
      <c r="H4" s="611"/>
      <c r="I4" s="610" t="s">
        <v>2293</v>
      </c>
      <c r="J4" s="611"/>
      <c r="K4" s="591" t="s">
        <v>2294</v>
      </c>
      <c r="L4" s="592"/>
      <c r="M4" s="592" t="s">
        <v>2295</v>
      </c>
      <c r="N4" s="592"/>
    </row>
    <row r="5" spans="2:17" ht="28.5" customHeight="1">
      <c r="B5" s="608"/>
      <c r="C5" s="593" t="s">
        <v>2296</v>
      </c>
      <c r="D5" s="594"/>
      <c r="E5" s="593" t="s">
        <v>2297</v>
      </c>
      <c r="F5" s="594"/>
      <c r="G5" s="595" t="s">
        <v>2298</v>
      </c>
      <c r="H5" s="596"/>
      <c r="I5" s="597" t="s">
        <v>2299</v>
      </c>
      <c r="J5" s="598"/>
      <c r="K5" s="43" t="s">
        <v>2300</v>
      </c>
      <c r="L5" s="44" t="s">
        <v>2301</v>
      </c>
      <c r="M5" s="43" t="s">
        <v>2300</v>
      </c>
      <c r="N5" s="44" t="s">
        <v>2302</v>
      </c>
    </row>
    <row r="6" spans="2:17" ht="28.5" customHeight="1">
      <c r="B6" s="608"/>
      <c r="C6" s="593" t="s">
        <v>58</v>
      </c>
      <c r="D6" s="594"/>
      <c r="E6" s="585">
        <f>AVERAGE(D13:M13)</f>
        <v>158.45745347989876</v>
      </c>
      <c r="F6" s="586">
        <f>AVERAGE(D31:O31,D13:J13)</f>
        <v>167.2055400358245</v>
      </c>
      <c r="G6" s="587">
        <f>AVERAGE(D13:J13)</f>
        <v>167.2055400358245</v>
      </c>
      <c r="H6" s="588"/>
      <c r="I6" s="587">
        <f>AVERAGE(K13:M13)</f>
        <v>138.04525151607206</v>
      </c>
      <c r="J6" s="588"/>
      <c r="K6" s="589">
        <f>'0626 4度C'!Y2</f>
        <v>0</v>
      </c>
      <c r="L6" s="574">
        <f>'0626 4度C'!Z2</f>
        <v>0</v>
      </c>
      <c r="M6" s="590">
        <f>'0626 4度C'!AC2</f>
        <v>50</v>
      </c>
      <c r="N6" s="574">
        <f>'0626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151.70776394642368</v>
      </c>
      <c r="F7" s="578">
        <f>AVERAGE(D32:O32,D14:J14)</f>
        <v>160.15400424085641</v>
      </c>
      <c r="G7" s="579">
        <f>AVERAGE(D14:J14)</f>
        <v>160.15400424085641</v>
      </c>
      <c r="H7" s="580"/>
      <c r="I7" s="579">
        <f>AVERAGE(K14:M14)</f>
        <v>131.99986992608069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0.95737448512328827</v>
      </c>
      <c r="F8" s="582">
        <f>AVERAGE(D15:J15,D33:O33)</f>
        <v>0.95790860885236417</v>
      </c>
      <c r="G8" s="583">
        <f>AVERAGE(D15:J15)</f>
        <v>0.95790860885236417</v>
      </c>
      <c r="H8" s="584"/>
      <c r="I8" s="583">
        <f>AVERAGE(K15:M15)</f>
        <v>0.95612819642211144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2303</v>
      </c>
      <c r="N9" s="42"/>
      <c r="O9" s="42"/>
      <c r="P9" s="42"/>
      <c r="Q9" s="42"/>
    </row>
    <row r="10" spans="2:17" ht="30" customHeight="1">
      <c r="B10" s="557" t="s">
        <v>2304</v>
      </c>
      <c r="C10" s="558"/>
      <c r="D10" s="559" t="s">
        <v>2305</v>
      </c>
      <c r="E10" s="560"/>
      <c r="F10" s="560"/>
      <c r="G10" s="560"/>
      <c r="H10" s="560"/>
      <c r="I10" s="560"/>
      <c r="J10" s="561"/>
      <c r="K10" s="562" t="s">
        <v>2306</v>
      </c>
      <c r="L10" s="563"/>
      <c r="M10" s="564"/>
      <c r="P10" s="48"/>
      <c r="Q10" s="48"/>
    </row>
    <row r="11" spans="2:17" ht="17.25" customHeight="1">
      <c r="B11" s="565" t="s">
        <v>2307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2308</v>
      </c>
      <c r="C13" s="55" t="s">
        <v>2309</v>
      </c>
      <c r="D13" s="56">
        <f>SUMIFS('0626 4度C'!$K:$K,'0626 4度C'!$A:$A,"新豐6線",'0626 4度C'!$B:$B,"平均")</f>
        <v>130.43478260869566</v>
      </c>
      <c r="E13" s="57">
        <f>SUMIFS('0626 4度C'!$K:$K,'0626 4度C'!$A:$A,"新豐2線",'0626 4度C'!$B:$B,"平均")</f>
        <v>88.235294117647058</v>
      </c>
      <c r="F13" s="58">
        <f>SUMIFS('0626 4度C'!$K:$K,'0626 4度C'!$A:$A,"新豐5線",'0626 4度C'!$B:$B,"平均")</f>
        <v>87.786259541984734</v>
      </c>
      <c r="G13" s="58">
        <f>SUMIFS('0626 4度C'!$K:$K,'0626 4度C'!$A:$A,"新豐7線",'0626 4度C'!$B:$B,"平均")</f>
        <v>119.99999999999999</v>
      </c>
      <c r="H13" s="58">
        <f>SUMIFS('0626 4度C'!$K:$K,'0626 4度C'!$A:$A,"新豐3線",'0626 4度C'!$B:$B,"平均")</f>
        <v>300</v>
      </c>
      <c r="I13" s="58">
        <f>SUMIFS('0626 4度C'!$K:$K,'0626 4度C'!$A:$A,"新豐1線",'0626 4度C'!$B:$B,"平均")</f>
        <v>119.65811965811965</v>
      </c>
      <c r="J13" s="59">
        <f>SUMIFS('0626 4度C'!$K:$K,'0626 4度C'!$A:$A,"新豐10線",'0626 4度C'!$B:$B,"平均")</f>
        <v>324.32432432432432</v>
      </c>
      <c r="K13" s="60">
        <f>SUMIFS('0626 4度C'!$K:$K,'0626 4度C'!$A:$A,"新豐8線",'0626 4度C'!$B:$B,"平均")</f>
        <v>139.53488372093022</v>
      </c>
      <c r="L13" s="61">
        <f>SUMIFS('0626 4度C'!$K:$K,'0626 4度C'!$A:$A,"新豐9線",'0626 4度C'!$B:$B,"平均")</f>
        <v>120.75471698113208</v>
      </c>
      <c r="M13" s="59">
        <f>SUMIFS('0626 4度C'!$K:$K,'0626 4度C'!$A:$A,"新豐4線",'0626 4度C'!$B:$B,"平均")</f>
        <v>153.84615384615384</v>
      </c>
    </row>
    <row r="14" spans="2:17" ht="39.6" customHeight="1">
      <c r="B14" s="570"/>
      <c r="C14" s="62" t="s">
        <v>111</v>
      </c>
      <c r="D14" s="63">
        <f>SUMIFS('0626 4度C'!$N:$N,'0626 4度C'!$A:$A,"新豐6線",'0626 4度C'!$B:$B,"平均")</f>
        <v>125.17012640296396</v>
      </c>
      <c r="E14" s="64">
        <f>SUMIFS('0626 4度C'!$N:$N,'0626 4度C'!$A:$A,"新豐2線",'0626 4度C'!$B:$B,"平均")</f>
        <v>84.163971758302864</v>
      </c>
      <c r="F14" s="64">
        <f>SUMIFS('0626 4度C'!$N:$N,'0626 4度C'!$A:$A,"新豐5線",'0626 4度C'!$B:$B,"平均")</f>
        <v>83.959589849169618</v>
      </c>
      <c r="G14" s="64">
        <f>SUMIFS('0626 4度C'!$N:$N,'0626 4度C'!$A:$A,"新豐7線",'0626 4度C'!$B:$B,"平均")</f>
        <v>115.18286925409006</v>
      </c>
      <c r="H14" s="64">
        <f>SUMIFS('0626 4度C'!$N:$N,'0626 4度C'!$A:$A,"新豐3線",'0626 4度C'!$B:$B,"平均")</f>
        <v>286.13288976337174</v>
      </c>
      <c r="I14" s="64">
        <f>SUMIFS('0626 4度C'!$N:$N,'0626 4度C'!$A:$A,"新豐1線",'0626 4度C'!$B:$B,"平均")</f>
        <v>115.07368562735324</v>
      </c>
      <c r="J14" s="65">
        <f>SUMIFS('0626 4度C'!$N:$N,'0626 4度C'!$A:$A,"新豐10線",'0626 4度C'!$B:$B,"平均")</f>
        <v>311.39489703074338</v>
      </c>
      <c r="K14" s="66">
        <f>SUMIFS('0626 4度C'!$N:$N,'0626 4度C'!$A:$A,"新豐8線",'0626 4度C'!$B:$B,"平均")</f>
        <v>133.24707544839987</v>
      </c>
      <c r="L14" s="67">
        <f>SUMIFS('0626 4度C'!$N:$N,'0626 4度C'!$A:$A,"新豐9線",'0626 4度C'!$B:$B,"平均")</f>
        <v>115.39971484940035</v>
      </c>
      <c r="M14" s="65">
        <f>SUMIFS('0626 4度C'!$N:$N,'0626 4度C'!$A:$A,"新豐4線",'0626 4度C'!$B:$B,"平均")</f>
        <v>147.35281948044184</v>
      </c>
    </row>
    <row r="15" spans="2:17" ht="40.15" customHeight="1">
      <c r="B15" s="571"/>
      <c r="C15" s="68" t="s">
        <v>112</v>
      </c>
      <c r="D15" s="69">
        <f t="shared" ref="D15:M15" si="0">D14/D13</f>
        <v>0.95963763575605698</v>
      </c>
      <c r="E15" s="70">
        <f t="shared" si="0"/>
        <v>0.95385834659409918</v>
      </c>
      <c r="F15" s="70">
        <f t="shared" si="0"/>
        <v>0.9564092408905408</v>
      </c>
      <c r="G15" s="70">
        <f t="shared" si="0"/>
        <v>0.95985724378408399</v>
      </c>
      <c r="H15" s="70">
        <f t="shared" si="0"/>
        <v>0.95377629921123908</v>
      </c>
      <c r="I15" s="70">
        <f t="shared" si="0"/>
        <v>0.96168722988573796</v>
      </c>
      <c r="J15" s="71">
        <f t="shared" si="0"/>
        <v>0.96013426584479211</v>
      </c>
      <c r="K15" s="69">
        <f t="shared" si="0"/>
        <v>0.95493737404686574</v>
      </c>
      <c r="L15" s="70">
        <f t="shared" si="0"/>
        <v>0.95565388859659672</v>
      </c>
      <c r="M15" s="71">
        <f t="shared" si="0"/>
        <v>0.95779332662287198</v>
      </c>
    </row>
    <row r="16" spans="2:17" ht="17.25" customHeight="1">
      <c r="B16" s="572" t="s">
        <v>2310</v>
      </c>
      <c r="C16" s="72" t="s">
        <v>2311</v>
      </c>
      <c r="D16" s="73">
        <f>VLOOKUP("新豐6線",'0626 4度C'!$A:$T,19,0)</f>
        <v>0.70833333333333337</v>
      </c>
      <c r="E16" s="74">
        <f>VLOOKUP("新豐2線",'0626 4度C'!$A:$T,19,0)</f>
        <v>8.3333333333333329E-2</v>
      </c>
      <c r="F16" s="74">
        <f>VLOOKUP("新豐5線",'0626 4度C'!$A:$T,19,0)</f>
        <v>8.3333333333333329E-2</v>
      </c>
      <c r="G16" s="74">
        <f>VLOOKUP("新豐7線",'0626 4度C'!$A:$T,19,0)</f>
        <v>0.20833333333333334</v>
      </c>
      <c r="H16" s="74">
        <f>VLOOKUP("新豐3線",'0626 4度C'!$A:$T,19,0)</f>
        <v>0.20833333333333334</v>
      </c>
      <c r="I16" s="74">
        <f>VLOOKUP("新豐1線",'0626 4度C'!$A:$T,19,0)</f>
        <v>0.16666666666666666</v>
      </c>
      <c r="J16" s="75">
        <f>VLOOKUP("新豐10線",'0626 4度C'!$A:$T,19,0)</f>
        <v>0.20833333333333334</v>
      </c>
      <c r="K16" s="76">
        <f>VLOOKUP("新豐8線",'0626 4度C'!$A:$T,19,0)</f>
        <v>8.3333333333333329E-2</v>
      </c>
      <c r="L16" s="77">
        <f>VLOOKUP("新豐9線",'0626 4度C'!$A:$T,19,0)</f>
        <v>8.3333333333333329E-2</v>
      </c>
      <c r="M16" s="78">
        <f>VLOOKUP("新豐4線",'0626 4度C'!$A:$T,19,0)</f>
        <v>8.3333333333333329E-2</v>
      </c>
    </row>
    <row r="17" spans="2:13" ht="17.25" customHeight="1">
      <c r="B17" s="573"/>
      <c r="C17" s="72" t="s">
        <v>2312</v>
      </c>
      <c r="D17" s="76">
        <f>LOOKUP(2,1/(('0626 4度C'!$A:$A="新豐6線")*('0626 4度C'!$T:$T&lt;&gt;"")),'0626 4度C'!$T:$T)</f>
        <v>0.82291666666666663</v>
      </c>
      <c r="E17" s="74">
        <f>LOOKUP(2,1/(('0626 4度C'!$A:$A="新豐2線")*('0626 4度C'!$T:$T&lt;&gt;"")),'0626 4度C'!$T:$T)</f>
        <v>0.57847222222222217</v>
      </c>
      <c r="F17" s="74">
        <f>LOOKUP(2,1/(('0626 4度C'!$A:$A="新豐5線")*('0626 4度C'!$T:$T&lt;&gt;"")),'0626 4度C'!$T:$T)</f>
        <v>0.79166666666666674</v>
      </c>
      <c r="G17" s="74">
        <f>LOOKUP(2,1/(('0626 4度C'!$A:$A="新豐7線")*('0626 4度C'!$T:$T&lt;&gt;"")),'0626 4度C'!$T:$T)</f>
        <v>0.79791666666666672</v>
      </c>
      <c r="H17" s="74">
        <f>LOOKUP(2,1/(('0626 4度C'!$A:$A="新豐3線")*('0626 4度C'!$T:$T&lt;&gt;"")),'0626 4度C'!$T:$T)</f>
        <v>0.43125000000000002</v>
      </c>
      <c r="I17" s="74">
        <f>LOOKUP(2,1/(('0626 4度C'!$A:$A="新豐1線")*('0626 4度C'!$T:$T&lt;&gt;"")),'0626 4度C'!$T:$T)</f>
        <v>0.81666666666666665</v>
      </c>
      <c r="J17" s="75">
        <f>LOOKUP(2,1/(('0626 4度C'!$A:$A="新豐10線")*('0626 4度C'!$T:$T&lt;&gt;"")),'0626 4度C'!$T:$T)</f>
        <v>0.3576388888888889</v>
      </c>
      <c r="K17" s="73">
        <f>LOOKUP(2,1/(('0626 4度C'!$A:$A="新豐8線")*('0626 4度C'!$T:$T&lt;&gt;"")),'0626 4度C'!$T:$T)</f>
        <v>0.5131944444444444</v>
      </c>
      <c r="L17" s="74">
        <f>LOOKUP(2,1/(('0626 4度C'!$A:$A="新豐9線")*('0626 4度C'!$T:$T&lt;&gt;"")),'0626 4度C'!$T:$T)</f>
        <v>0.61874999999999991</v>
      </c>
      <c r="M17" s="75">
        <f>LOOKUP(2,1/(('0626 4度C'!$A:$A="新豐4線")*('0626 4度C'!$T:$T&lt;&gt;"")),'0626 4度C'!$T:$T)</f>
        <v>0.48680555555555555</v>
      </c>
    </row>
    <row r="18" spans="2:13" ht="17.25" customHeight="1">
      <c r="B18" s="551" t="s">
        <v>2313</v>
      </c>
      <c r="C18" s="79" t="s">
        <v>2314</v>
      </c>
      <c r="D18" s="80">
        <f>SUMIFS('0626 4度C'!$Y:$Y,'0626 4度C'!$A:$A,"新豐6線",'0626 4度C'!$B:$B,"平均")</f>
        <v>0</v>
      </c>
      <c r="E18" s="81">
        <f>SUMIFS('0626 4度C'!$Y:$Y,'0626 4度C'!$A:$A,"新豐2線",'0626 4度C'!$B:$B,"平均")</f>
        <v>0</v>
      </c>
      <c r="F18" s="81">
        <f>SUMIFS('0626 4度C'!$Y:$Y,'0626 4度C'!$A:$A,"新豐5線",'0626 4度C'!$B:$B,"平均")</f>
        <v>0</v>
      </c>
      <c r="G18" s="81">
        <f>SUMIFS('0626 4度C'!$Y:$Y,'0626 4度C'!$A:$A,"新豐7線",'0626 4度C'!$B:$B,"平均")</f>
        <v>0</v>
      </c>
      <c r="H18" s="81">
        <f>SUMIFS('0626 4度C'!$Y:$Y,'0626 4度C'!$A:$A,"新豐3線",'0626 4度C'!$B:$B,"平均")</f>
        <v>0</v>
      </c>
      <c r="I18" s="81">
        <f>SUMIFS('0626 4度C'!$Y:$Y,'0626 4度C'!$A:$A,"新豐1線",'0626 4度C'!$B:$B,"平均")</f>
        <v>0</v>
      </c>
      <c r="J18" s="82">
        <f>SUMIFS('0626 4度C'!$Y:$Y,'0626 4度C'!$A:$A,"新豐10線",'0626 4度C'!$B:$B,"平均")</f>
        <v>0</v>
      </c>
      <c r="K18" s="83">
        <f>SUMIFS('0626 4度C'!$Y:$Y,'0626 4度C'!$A:$A,"新豐8線",'0626 4度C'!$B:$B,"平均")</f>
        <v>0</v>
      </c>
      <c r="L18" s="81">
        <f>SUMIFS('0626 4度C'!$Y:$Y,'0626 4度C'!$A:$A,"新豐9線",'0626 4度C'!$B:$B,"平均")</f>
        <v>0</v>
      </c>
      <c r="M18" s="82">
        <f>SUMIFS('0626 4度C'!$Y:$Y,'0626 4度C'!$A:$A,"新豐4線",'0626 4度C'!$B:$B,"平均")</f>
        <v>0</v>
      </c>
    </row>
    <row r="19" spans="2:13" ht="17.25" customHeight="1">
      <c r="B19" s="552"/>
      <c r="C19" s="79" t="s">
        <v>2315</v>
      </c>
      <c r="D19" s="80">
        <f>SUMIFS('0626 4度C'!$Z:$Z,'0626 4度C'!$A:$A,"新豐6線",'0626 4度C'!$B:$B,"平均")</f>
        <v>0</v>
      </c>
      <c r="E19" s="81">
        <f>SUMIFS('0626 4度C'!$Z:$Z,'0626 4度C'!$A:$A,"新豐2線",'0626 4度C'!$B:$B,"平均")</f>
        <v>0</v>
      </c>
      <c r="F19" s="81">
        <f>SUMIFS('0626 4度C'!$Z:$Z,'0626 4度C'!$A:$A,"新豐5線",'0626 4度C'!$B:$B,"平均")</f>
        <v>0</v>
      </c>
      <c r="G19" s="81">
        <f>SUMIFS('0626 4度C'!$Z:$Z,'0626 4度C'!$A:$A,"新豐7線",'0626 4度C'!$B:$B,"平均")</f>
        <v>0</v>
      </c>
      <c r="H19" s="81">
        <f>SUMIFS('0626 4度C'!$Z:$Z,'0626 4度C'!$A:$A,"新豐3線",'0626 4度C'!$B:$B,"平均")</f>
        <v>0</v>
      </c>
      <c r="I19" s="81">
        <f>SUMIFS('0626 4度C'!$Z:$Z,'0626 4度C'!$A:$A,"新豐1線",'0626 4度C'!$B:$B,"平均")</f>
        <v>0</v>
      </c>
      <c r="J19" s="82">
        <f>SUMIFS('0626 4度C'!$Z:$Z,'0626 4度C'!$A:$A,"新豐10線",'0626 4度C'!$B:$B,"平均")</f>
        <v>0</v>
      </c>
      <c r="K19" s="83">
        <f>SUMIFS('0626 4度C'!$Z:$Z,'0626 4度C'!$A:$A,"新豐8線",'0626 4度C'!$B:$B,"平均")</f>
        <v>0</v>
      </c>
      <c r="L19" s="81">
        <f>SUMIFS('0626 4度C'!$Z:$Z,'0626 4度C'!$A:$A,"新豐9線",'0626 4度C'!$B:$B,"平均")</f>
        <v>0</v>
      </c>
      <c r="M19" s="82">
        <f>SUMIFS('0626 4度C'!$Z:$Z,'0626 4度C'!$A:$A,"新豐4線",'0626 4度C'!$B:$B,"平均")</f>
        <v>0</v>
      </c>
    </row>
    <row r="20" spans="2:13" ht="17.25" customHeight="1">
      <c r="B20" s="551" t="s">
        <v>2316</v>
      </c>
      <c r="C20" s="79" t="s">
        <v>2314</v>
      </c>
      <c r="D20" s="80">
        <f>SUMIFS('0626 4度C'!$AC:$AC,'0626 4度C'!$A:$A,"新豐6線",'0626 4度C'!$B:$B,"平均")</f>
        <v>3</v>
      </c>
      <c r="E20" s="81">
        <f>SUMIFS('0626 4度C'!$AC:$AC,'0626 4度C'!$A:$A,"新豐2線",'0626 4度C'!$B:$B,"平均")</f>
        <v>4</v>
      </c>
      <c r="F20" s="81">
        <f>SUMIFS('0626 4度C'!$AC:$AC,'0626 4度C'!$A:$A,"新豐5線",'0626 4度C'!$B:$B,"平均")</f>
        <v>7</v>
      </c>
      <c r="G20" s="81">
        <f>SUMIFS('0626 4度C'!$AC:$AC,'0626 4度C'!$A:$A,"新豐7線",'0626 4度C'!$B:$B,"平均")</f>
        <v>6</v>
      </c>
      <c r="H20" s="81">
        <f>SUMIFS('0626 4度C'!$AC:$AC,'0626 4度C'!$A:$A,"新豐3線",'0626 4度C'!$B:$B,"平均")</f>
        <v>3</v>
      </c>
      <c r="I20" s="81">
        <f>SUMIFS('0626 4度C'!$AC:$AC,'0626 4度C'!$A:$A,"新豐1線",'0626 4度C'!$B:$B,"平均")</f>
        <v>7</v>
      </c>
      <c r="J20" s="82">
        <f>SUMIFS('0626 4度C'!$AC:$AC,'0626 4度C'!$A:$A,"新豐10線",'0626 4度C'!$B:$B,"平均")</f>
        <v>4</v>
      </c>
      <c r="K20" s="83">
        <f>SUMIFS('0626 4度C'!$AC:$AC,'0626 4度C'!$A:$A,"新豐8線",'0626 4度C'!$B:$B,"平均")</f>
        <v>5</v>
      </c>
      <c r="L20" s="81">
        <f>SUMIFS('0626 4度C'!$AC:$AC,'0626 4度C'!$A:$A,"新豐9線",'0626 4度C'!$B:$B,"平均")</f>
        <v>6</v>
      </c>
      <c r="M20" s="82">
        <f>SUMIFS('0626 4度C'!$AC:$AC,'0626 4度C'!$A:$A,"新豐4線",'0626 4度C'!$B:$B,"平均")</f>
        <v>5</v>
      </c>
    </row>
    <row r="21" spans="2:13" ht="17.25" customHeight="1">
      <c r="B21" s="552"/>
      <c r="C21" s="79" t="s">
        <v>2317</v>
      </c>
      <c r="D21" s="80">
        <f>SUMIFS('0626 4度C'!$AD:$AD,'0626 4度C'!$A:$A,"新豐6線",'0626 4度C'!$B:$B,"平均")</f>
        <v>0</v>
      </c>
      <c r="E21" s="81">
        <f>SUMIFS('0626 4度C'!$AD:$AD,'0626 4度C'!$A:$A,"新豐2線",'0626 4度C'!$B:$B,"平均")</f>
        <v>0</v>
      </c>
      <c r="F21" s="81">
        <f>SUMIFS('0626 4度C'!$AD:$AD,'0626 4度C'!$A:$A,"新豐5線",'0626 4度C'!$B:$B,"平均")</f>
        <v>0</v>
      </c>
      <c r="G21" s="81">
        <f>SUMIFS('0626 4度C'!$AD:$AD,'0626 4度C'!$A:$A,"新豐7線",'0626 4度C'!$B:$B,"平均")</f>
        <v>0</v>
      </c>
      <c r="H21" s="81">
        <f>SUMIFS('0626 4度C'!$AD:$AD,'0626 4度C'!$A:$A,"新豐3線",'0626 4度C'!$B:$B,"平均")</f>
        <v>0</v>
      </c>
      <c r="I21" s="81">
        <f>SUMIFS('0626 4度C'!$AD:$AD,'0626 4度C'!$A:$A,"新豐1線",'0626 4度C'!$B:$B,"平均")</f>
        <v>0</v>
      </c>
      <c r="J21" s="82">
        <f>SUMIFS('0626 4度C'!$AD:$AD,'0626 4度C'!$A:$A,"新豐10線",'0626 4度C'!$B:$B,"平均")</f>
        <v>0</v>
      </c>
      <c r="K21" s="83">
        <f>SUMIFS('0626 4度C'!$AD:$AD,'0626 4度C'!$A:$A,"新豐8線",'0626 4度C'!$B:$B,"平均")</f>
        <v>0</v>
      </c>
      <c r="L21" s="81">
        <f>SUMIFS('0626 4度C'!$AD:$AD,'0626 4度C'!$A:$A,"新豐9線",'0626 4度C'!$B:$B,"平均")</f>
        <v>0</v>
      </c>
      <c r="M21" s="82">
        <f>SUMIFS('0626 4度C'!$AD:$AD,'0626 4度C'!$A:$A,"新豐4線",'0626 4度C'!$B:$B,"平均")</f>
        <v>0</v>
      </c>
    </row>
    <row r="22" spans="2:13" ht="17.25" customHeight="1">
      <c r="B22" s="553" t="s">
        <v>497</v>
      </c>
      <c r="C22" s="554"/>
      <c r="D22" s="84">
        <f>SUMIFS('0626 4度C'!$I:$I,'0626 4度C'!$A:$A,"新豐6線",'0626 4度C'!$B:$B,"平均")</f>
        <v>15.333333333333334</v>
      </c>
      <c r="E22" s="85">
        <f>SUMIFS('0626 4度C'!$I:$I,'0626 4度C'!$A:$A,"新豐2線",'0626 4度C'!$B:$B,"平均")</f>
        <v>17</v>
      </c>
      <c r="F22" s="85">
        <f>SUMIFS('0626 4度C'!$I:$I,'0626 4度C'!$A:$A,"新豐5線",'0626 4度C'!$B:$B,"平均")</f>
        <v>18.714285714285715</v>
      </c>
      <c r="G22" s="85">
        <f>SUMIFS('0626 4度C'!$I:$I,'0626 4度C'!$A:$A,"新豐7線",'0626 4度C'!$B:$B,"平均")</f>
        <v>16.666666666666668</v>
      </c>
      <c r="H22" s="85">
        <f>SUMIFS('0626 4度C'!$I:$I,'0626 4度C'!$A:$A,"新豐3線",'0626 4度C'!$B:$B,"平均")</f>
        <v>10</v>
      </c>
      <c r="I22" s="85">
        <f>SUMIFS('0626 4度C'!$I:$I,'0626 4度C'!$A:$A,"新豐1線",'0626 4度C'!$B:$B,"平均")</f>
        <v>16.714285714285715</v>
      </c>
      <c r="J22" s="86">
        <f>SUMIFS('0626 4度C'!$I:$I,'0626 4度C'!$A:$A,"新豐10線",'0626 4度C'!$B:$B,"平均")</f>
        <v>9.25</v>
      </c>
      <c r="K22" s="84">
        <f>SUMIFS('0626 4度C'!$I:$I,'0626 4度C'!$A:$A,"新豐8線",'0626 4度C'!$B:$B,"平均")</f>
        <v>17.2</v>
      </c>
      <c r="L22" s="85">
        <f>SUMIFS('0626 4度C'!$I:$I,'0626 4度C'!$A:$A,"新豐9線",'0626 4度C'!$B:$B,"平均")</f>
        <v>17.666666666666668</v>
      </c>
      <c r="M22" s="86">
        <f>SUMIFS('0626 4度C'!$I:$I,'0626 4度C'!$A:$A,"新豐4線",'0626 4度C'!$B:$B,"平均")</f>
        <v>15.6</v>
      </c>
    </row>
    <row r="23" spans="2:13" ht="17.25" customHeight="1">
      <c r="B23" s="553" t="s">
        <v>2318</v>
      </c>
      <c r="C23" s="554"/>
      <c r="D23" s="87" t="s">
        <v>71</v>
      </c>
      <c r="E23" s="88" t="s">
        <v>72</v>
      </c>
      <c r="F23" s="88" t="s">
        <v>2319</v>
      </c>
      <c r="G23" s="88" t="s">
        <v>2319</v>
      </c>
      <c r="H23" s="88" t="s">
        <v>73</v>
      </c>
      <c r="I23" s="88" t="s">
        <v>71</v>
      </c>
      <c r="J23" s="89" t="s">
        <v>73</v>
      </c>
      <c r="K23" s="87" t="s">
        <v>2320</v>
      </c>
      <c r="L23" s="88" t="s">
        <v>2320</v>
      </c>
      <c r="M23" s="89" t="s">
        <v>2320</v>
      </c>
    </row>
    <row r="24" spans="2:13" ht="17.25" customHeight="1">
      <c r="B24" s="553" t="s">
        <v>2321</v>
      </c>
      <c r="C24" s="554"/>
      <c r="D24" s="87"/>
      <c r="E24" s="88"/>
      <c r="F24" s="88" t="s">
        <v>2322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2323</v>
      </c>
      <c r="C25" s="556"/>
      <c r="D25" s="90"/>
      <c r="E25" s="91" t="s">
        <v>2324</v>
      </c>
      <c r="F25" s="549" t="s">
        <v>2325</v>
      </c>
      <c r="G25" s="550"/>
      <c r="H25" s="91" t="s">
        <v>2326</v>
      </c>
      <c r="I25" s="91" t="s">
        <v>2327</v>
      </c>
      <c r="J25" s="92" t="s">
        <v>510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6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2328</v>
      </c>
      <c r="B1" s="1"/>
      <c r="C1" s="2" t="s">
        <v>2329</v>
      </c>
      <c r="D1" s="3">
        <f>SUM(F5:F64)</f>
        <v>146893</v>
      </c>
      <c r="E1" s="475" t="s">
        <v>2330</v>
      </c>
      <c r="F1" s="1">
        <f>SUM(G5:G64)</f>
        <v>5051396.62</v>
      </c>
      <c r="G1" s="1" t="s">
        <v>2331</v>
      </c>
      <c r="H1" s="4">
        <f>L8+L13+L45+L53+L21+L58+L34+L41+L28+L64</f>
        <v>154.14523809523808</v>
      </c>
      <c r="I1" s="663" t="s">
        <v>2332</v>
      </c>
      <c r="J1" s="663"/>
      <c r="K1" s="663"/>
      <c r="L1" s="663" t="s">
        <v>2333</v>
      </c>
      <c r="M1" s="663"/>
      <c r="N1" s="663"/>
      <c r="O1" s="663" t="s">
        <v>2334</v>
      </c>
      <c r="P1" s="663"/>
      <c r="Q1" s="663"/>
      <c r="R1" s="663"/>
      <c r="S1" s="663" t="s">
        <v>2335</v>
      </c>
      <c r="T1" s="663"/>
      <c r="U1" s="663"/>
      <c r="V1" s="663"/>
      <c r="W1" s="663"/>
      <c r="X1" s="663"/>
      <c r="Y1" s="5" t="s">
        <v>2336</v>
      </c>
      <c r="Z1" s="6" t="s">
        <v>2337</v>
      </c>
      <c r="AA1" s="664" t="s">
        <v>2338</v>
      </c>
      <c r="AB1" s="664"/>
      <c r="AC1" s="94" t="s">
        <v>2336</v>
      </c>
      <c r="AD1" s="6" t="s">
        <v>2339</v>
      </c>
      <c r="AE1" s="663" t="s">
        <v>2340</v>
      </c>
      <c r="AF1" s="665"/>
      <c r="AG1" s="665"/>
    </row>
    <row r="2" spans="1:33" ht="26.25" customHeight="1">
      <c r="A2" s="27">
        <v>46199</v>
      </c>
      <c r="B2" s="28" t="s">
        <v>524</v>
      </c>
      <c r="C2" s="2" t="s">
        <v>2341</v>
      </c>
      <c r="D2" s="8">
        <f>AVERAGE(N8,N13,N45,N53,N21,N58,N28,N34,N41,N64)</f>
        <v>151.70776394642368</v>
      </c>
      <c r="E2" s="9" t="s">
        <v>0</v>
      </c>
      <c r="F2" s="10">
        <f>F1/D1</f>
        <v>34.388273232897419</v>
      </c>
      <c r="G2" s="1" t="s">
        <v>2342</v>
      </c>
      <c r="H2" s="486">
        <f>COUNT(H5:H64)</f>
        <v>2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SUM(Y8+Y13+Y21+Y28+Y34+Y41+Y45+Y53+Y58+Y64)</f>
        <v>0</v>
      </c>
      <c r="Z2" s="11">
        <f>SUM(Z8+Z13+Z21+Z28+Z34+Z41+Z45+Z53+Z58+Z64)</f>
        <v>0</v>
      </c>
      <c r="AA2" s="664"/>
      <c r="AB2" s="664"/>
      <c r="AC2" s="95">
        <v>50</v>
      </c>
      <c r="AD2" s="11">
        <f>SUM(AD8+AD13+AD21+AD28+AD34+AD41+AD45+AD53+AD58+AD64)</f>
        <v>0</v>
      </c>
      <c r="AE2" s="665"/>
      <c r="AF2" s="665"/>
      <c r="AG2" s="665"/>
    </row>
    <row r="3" spans="1:33" ht="40.5" customHeight="1">
      <c r="A3" s="617" t="s">
        <v>2343</v>
      </c>
      <c r="B3" s="617" t="s">
        <v>2344</v>
      </c>
      <c r="C3" s="617" t="s">
        <v>2345</v>
      </c>
      <c r="D3" s="617"/>
      <c r="E3" s="661" t="s">
        <v>2346</v>
      </c>
      <c r="F3" s="617" t="s">
        <v>2347</v>
      </c>
      <c r="G3" s="661" t="s">
        <v>2348</v>
      </c>
      <c r="H3" s="654" t="s">
        <v>2349</v>
      </c>
      <c r="I3" s="652" t="s">
        <v>2350</v>
      </c>
      <c r="J3" s="649" t="s">
        <v>2351</v>
      </c>
      <c r="K3" s="659" t="s">
        <v>2341</v>
      </c>
      <c r="L3" s="652" t="s">
        <v>2350</v>
      </c>
      <c r="M3" s="649" t="s">
        <v>2351</v>
      </c>
      <c r="N3" s="659" t="s">
        <v>2308</v>
      </c>
      <c r="O3" s="652" t="s">
        <v>2350</v>
      </c>
      <c r="P3" s="659" t="s">
        <v>2341</v>
      </c>
      <c r="Q3" s="650" t="s">
        <v>2352</v>
      </c>
      <c r="R3" s="630" t="s">
        <v>2353</v>
      </c>
      <c r="S3" s="660" t="s">
        <v>1</v>
      </c>
      <c r="T3" s="660"/>
      <c r="U3" s="654" t="s">
        <v>2</v>
      </c>
      <c r="V3" s="654" t="s">
        <v>2354</v>
      </c>
      <c r="W3" s="617" t="s">
        <v>2355</v>
      </c>
      <c r="X3" s="617"/>
      <c r="Y3" s="655" t="s">
        <v>2356</v>
      </c>
      <c r="Z3" s="614"/>
      <c r="AA3" s="656" t="s">
        <v>2357</v>
      </c>
      <c r="AB3" s="657"/>
      <c r="AC3" s="655" t="s">
        <v>2358</v>
      </c>
      <c r="AD3" s="614"/>
      <c r="AE3" s="649" t="s">
        <v>2359</v>
      </c>
      <c r="AF3" s="650" t="s">
        <v>2360</v>
      </c>
      <c r="AG3" s="630" t="s">
        <v>2361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485" t="s">
        <v>3</v>
      </c>
      <c r="T4" s="485" t="s">
        <v>4</v>
      </c>
      <c r="U4" s="654"/>
      <c r="V4" s="654"/>
      <c r="W4" s="475" t="s">
        <v>2362</v>
      </c>
      <c r="X4" s="475" t="s">
        <v>2363</v>
      </c>
      <c r="Y4" s="477" t="s">
        <v>2364</v>
      </c>
      <c r="Z4" s="477" t="s">
        <v>2365</v>
      </c>
      <c r="AA4" s="658"/>
      <c r="AB4" s="657"/>
      <c r="AC4" s="477" t="s">
        <v>2366</v>
      </c>
      <c r="AD4" s="477" t="s">
        <v>2367</v>
      </c>
      <c r="AE4" s="649"/>
      <c r="AF4" s="650"/>
      <c r="AG4" s="630"/>
    </row>
    <row r="5" spans="1:33">
      <c r="A5" s="651" t="s">
        <v>2368</v>
      </c>
      <c r="B5" s="29" t="s">
        <v>15</v>
      </c>
      <c r="C5" s="653" t="s">
        <v>17</v>
      </c>
      <c r="D5" s="653"/>
      <c r="E5" s="29">
        <v>50.67</v>
      </c>
      <c r="F5" s="485">
        <v>1148</v>
      </c>
      <c r="G5" s="475">
        <f t="shared" ref="G5:G7" si="0">E5*F5</f>
        <v>58169.16</v>
      </c>
      <c r="H5" s="33" t="s">
        <v>57</v>
      </c>
      <c r="I5" s="483">
        <v>15</v>
      </c>
      <c r="J5" s="31">
        <v>2000</v>
      </c>
      <c r="K5" s="12">
        <f t="shared" ref="K5:K64" si="1">J5/I5</f>
        <v>133.33333333333334</v>
      </c>
      <c r="L5" s="483">
        <v>15</v>
      </c>
      <c r="M5" s="13">
        <f t="shared" ref="M5:M7" si="2">F5/V5*60</f>
        <v>1913.3333333333319</v>
      </c>
      <c r="N5" s="12">
        <f t="shared" ref="N5:N64" si="3">M5/L5</f>
        <v>127.55555555555546</v>
      </c>
      <c r="O5" s="14">
        <f t="shared" ref="O5:O64" si="4">L5-I5</f>
        <v>0</v>
      </c>
      <c r="P5" s="15">
        <f t="shared" ref="P5:P64" si="5">N5-K5</f>
        <v>-5.7777777777778851</v>
      </c>
      <c r="Q5" s="474">
        <f t="shared" ref="Q5:Q64" si="6">N5/K5</f>
        <v>0.95666666666666589</v>
      </c>
      <c r="R5" s="615">
        <f>Q8</f>
        <v>0.95963763575605698</v>
      </c>
      <c r="S5" s="34">
        <v>0.70833333333333337</v>
      </c>
      <c r="T5" s="34">
        <v>0.73333333333333339</v>
      </c>
      <c r="U5" s="475"/>
      <c r="V5" s="484">
        <f t="shared" ref="V5:V7" si="7">(T5-S5)*24*60</f>
        <v>36.000000000000028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2" si="8">M5-J5</f>
        <v>-86.666666666668107</v>
      </c>
      <c r="AF5" s="474">
        <f t="shared" ref="AF5:AF64" si="9">M5/J5</f>
        <v>0.956666666666666</v>
      </c>
      <c r="AG5" s="615">
        <f>AF8</f>
        <v>0.95963763575605709</v>
      </c>
    </row>
    <row r="6" spans="1:33">
      <c r="A6" s="652" t="s">
        <v>5</v>
      </c>
      <c r="B6" s="29" t="s">
        <v>15</v>
      </c>
      <c r="C6" s="653" t="s">
        <v>26</v>
      </c>
      <c r="D6" s="653"/>
      <c r="E6" s="29">
        <v>50.92</v>
      </c>
      <c r="F6" s="485">
        <v>1807</v>
      </c>
      <c r="G6" s="475">
        <f t="shared" si="0"/>
        <v>92012.44</v>
      </c>
      <c r="H6" s="33" t="s">
        <v>57</v>
      </c>
      <c r="I6" s="483">
        <v>15</v>
      </c>
      <c r="J6" s="31">
        <v>2000</v>
      </c>
      <c r="K6" s="12">
        <f t="shared" si="1"/>
        <v>133.33333333333334</v>
      </c>
      <c r="L6" s="483">
        <v>15</v>
      </c>
      <c r="M6" s="13">
        <f t="shared" si="2"/>
        <v>1936.07142857143</v>
      </c>
      <c r="N6" s="12">
        <f t="shared" si="3"/>
        <v>129.07142857142867</v>
      </c>
      <c r="O6" s="14">
        <f t="shared" si="4"/>
        <v>0</v>
      </c>
      <c r="P6" s="15">
        <f t="shared" si="5"/>
        <v>-4.2619047619046739</v>
      </c>
      <c r="Q6" s="474">
        <f t="shared" si="6"/>
        <v>0.968035714285715</v>
      </c>
      <c r="R6" s="615"/>
      <c r="S6" s="34">
        <v>0.73888888888888893</v>
      </c>
      <c r="T6" s="34">
        <v>0.77777777777777779</v>
      </c>
      <c r="U6" s="475">
        <f t="shared" ref="U6:U7" si="10">IF(S6=TIME(17,0,0),"",(S6-T5)*24*60)</f>
        <v>7.9999999999999716</v>
      </c>
      <c r="V6" s="484">
        <f t="shared" si="7"/>
        <v>55.999999999999957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-63.928571428569967</v>
      </c>
      <c r="AF6" s="474">
        <f t="shared" si="9"/>
        <v>0.968035714285715</v>
      </c>
      <c r="AG6" s="615"/>
    </row>
    <row r="7" spans="1:33">
      <c r="A7" s="652" t="s">
        <v>2369</v>
      </c>
      <c r="B7" s="29" t="s">
        <v>15</v>
      </c>
      <c r="C7" s="644" t="s">
        <v>31</v>
      </c>
      <c r="D7" s="645"/>
      <c r="E7" s="29">
        <v>50.98</v>
      </c>
      <c r="F7" s="485">
        <v>1813</v>
      </c>
      <c r="G7" s="475">
        <f t="shared" si="0"/>
        <v>92426.739999999991</v>
      </c>
      <c r="H7" s="33" t="s">
        <v>57</v>
      </c>
      <c r="I7" s="483">
        <v>16</v>
      </c>
      <c r="J7" s="31">
        <v>2000</v>
      </c>
      <c r="K7" s="12">
        <f t="shared" si="1"/>
        <v>125</v>
      </c>
      <c r="L7" s="483">
        <v>16</v>
      </c>
      <c r="M7" s="13">
        <f t="shared" si="2"/>
        <v>1908.4210526315803</v>
      </c>
      <c r="N7" s="12">
        <f t="shared" si="3"/>
        <v>119.27631578947377</v>
      </c>
      <c r="O7" s="14">
        <f t="shared" si="4"/>
        <v>0</v>
      </c>
      <c r="P7" s="15">
        <f t="shared" si="5"/>
        <v>-5.7236842105262298</v>
      </c>
      <c r="Q7" s="474">
        <f t="shared" si="6"/>
        <v>0.95421052631579018</v>
      </c>
      <c r="R7" s="615"/>
      <c r="S7" s="34">
        <v>0.78333333333333333</v>
      </c>
      <c r="T7" s="34">
        <v>0.82291666666666663</v>
      </c>
      <c r="U7" s="475">
        <f t="shared" si="10"/>
        <v>7.9999999999999716</v>
      </c>
      <c r="V7" s="484">
        <f t="shared" si="7"/>
        <v>56.999999999999957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-91.578947368419676</v>
      </c>
      <c r="AF7" s="474">
        <f t="shared" si="9"/>
        <v>0.95421052631579018</v>
      </c>
      <c r="AG7" s="615"/>
    </row>
    <row r="8" spans="1:33">
      <c r="A8" s="652" t="s">
        <v>2370</v>
      </c>
      <c r="B8" s="29" t="s">
        <v>2371</v>
      </c>
      <c r="C8" s="618"/>
      <c r="D8" s="618"/>
      <c r="E8" s="476"/>
      <c r="F8" s="30"/>
      <c r="G8" s="12"/>
      <c r="H8" s="485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1919.2752715121142</v>
      </c>
      <c r="N8" s="12">
        <f t="shared" si="3"/>
        <v>125.17012640296396</v>
      </c>
      <c r="O8" s="14">
        <f t="shared" si="4"/>
        <v>0</v>
      </c>
      <c r="P8" s="15">
        <f t="shared" si="5"/>
        <v>-5.264656205731697</v>
      </c>
      <c r="Q8" s="474">
        <f t="shared" si="6"/>
        <v>0.95963763575605698</v>
      </c>
      <c r="R8" s="615"/>
      <c r="S8" s="34"/>
      <c r="T8" s="34"/>
      <c r="U8" s="475"/>
      <c r="V8" s="484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-80.724728487885841</v>
      </c>
      <c r="AF8" s="474">
        <f t="shared" si="9"/>
        <v>0.95963763575605709</v>
      </c>
      <c r="AG8" s="615"/>
    </row>
    <row r="9" spans="1:33" ht="15.75" customHeight="1">
      <c r="A9" s="648" t="s">
        <v>2372</v>
      </c>
      <c r="B9" s="29" t="s">
        <v>19</v>
      </c>
      <c r="C9" s="644" t="s">
        <v>20</v>
      </c>
      <c r="D9" s="645"/>
      <c r="E9" s="29">
        <v>39.619999999999997</v>
      </c>
      <c r="F9" s="485">
        <v>4420</v>
      </c>
      <c r="G9" s="475">
        <f t="shared" ref="G9:G12" si="11">E9*F9</f>
        <v>175120.4</v>
      </c>
      <c r="H9" s="33" t="s">
        <v>57</v>
      </c>
      <c r="I9" s="483">
        <v>19</v>
      </c>
      <c r="J9" s="31">
        <v>1500</v>
      </c>
      <c r="K9" s="12">
        <f t="shared" si="1"/>
        <v>78.94736842105263</v>
      </c>
      <c r="L9" s="483">
        <v>19</v>
      </c>
      <c r="M9" s="13">
        <f t="shared" ref="M9:M12" si="12">F9/V9*60</f>
        <v>1425.8064516129027</v>
      </c>
      <c r="N9" s="12">
        <f t="shared" si="3"/>
        <v>75.042444821731721</v>
      </c>
      <c r="O9" s="14">
        <f t="shared" si="4"/>
        <v>0</v>
      </c>
      <c r="P9" s="15">
        <f t="shared" si="5"/>
        <v>-3.9049235993209095</v>
      </c>
      <c r="Q9" s="474">
        <f t="shared" si="6"/>
        <v>0.95053763440860184</v>
      </c>
      <c r="R9" s="615">
        <f>Q13</f>
        <v>0.95385834659409918</v>
      </c>
      <c r="S9" s="34">
        <v>8.3333333333333329E-2</v>
      </c>
      <c r="T9" s="34">
        <v>0.21250000000000002</v>
      </c>
      <c r="U9" s="475"/>
      <c r="V9" s="484">
        <f t="shared" ref="V9:V12" si="13">(T9-S9)*24*60</f>
        <v>186.00000000000006</v>
      </c>
      <c r="W9" s="16">
        <f>T9</f>
        <v>0.21250000000000002</v>
      </c>
      <c r="X9" s="16">
        <f>S10</f>
        <v>0.23055555555555557</v>
      </c>
      <c r="Y9" s="16"/>
      <c r="Z9" s="16"/>
      <c r="AA9" s="617"/>
      <c r="AB9" s="617"/>
      <c r="AC9" s="35">
        <v>4</v>
      </c>
      <c r="AD9" s="18"/>
      <c r="AE9" s="14">
        <f t="shared" si="8"/>
        <v>-74.19354838709728</v>
      </c>
      <c r="AF9" s="474">
        <f t="shared" si="9"/>
        <v>0.95053763440860184</v>
      </c>
      <c r="AG9" s="615">
        <f>AF13</f>
        <v>0.95385834659409907</v>
      </c>
    </row>
    <row r="10" spans="1:33" ht="15.75" customHeight="1">
      <c r="A10" s="648" t="s">
        <v>2372</v>
      </c>
      <c r="B10" s="29" t="s">
        <v>19</v>
      </c>
      <c r="C10" s="644" t="s">
        <v>83</v>
      </c>
      <c r="D10" s="645"/>
      <c r="E10" s="29">
        <v>39.46</v>
      </c>
      <c r="F10" s="485">
        <v>4060</v>
      </c>
      <c r="G10" s="475">
        <f t="shared" si="11"/>
        <v>160207.6</v>
      </c>
      <c r="H10" s="33" t="s">
        <v>57</v>
      </c>
      <c r="I10" s="483">
        <v>15</v>
      </c>
      <c r="J10" s="31">
        <v>1500</v>
      </c>
      <c r="K10" s="12">
        <f t="shared" si="1"/>
        <v>100</v>
      </c>
      <c r="L10" s="483">
        <v>15</v>
      </c>
      <c r="M10" s="13">
        <f t="shared" si="12"/>
        <v>1432.9411764705881</v>
      </c>
      <c r="N10" s="12">
        <f t="shared" si="3"/>
        <v>95.52941176470587</v>
      </c>
      <c r="O10" s="14">
        <f t="shared" si="4"/>
        <v>0</v>
      </c>
      <c r="P10" s="15">
        <f t="shared" si="5"/>
        <v>-4.4705882352941302</v>
      </c>
      <c r="Q10" s="474">
        <f t="shared" si="6"/>
        <v>0.95529411764705874</v>
      </c>
      <c r="R10" s="615"/>
      <c r="S10" s="34">
        <v>0.23055555555555557</v>
      </c>
      <c r="T10" s="34">
        <v>0.34861111111111115</v>
      </c>
      <c r="U10" s="475">
        <f t="shared" ref="U10:U12" si="14">IF(S10=TIME(17,0,0),"",(S10-T9)*24*60)</f>
        <v>25.999999999999986</v>
      </c>
      <c r="V10" s="484">
        <f t="shared" si="13"/>
        <v>170.00000000000003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-67.058823529411939</v>
      </c>
      <c r="AF10" s="474">
        <f t="shared" si="9"/>
        <v>0.95529411764705874</v>
      </c>
      <c r="AG10" s="615"/>
    </row>
    <row r="11" spans="1:33" ht="15.75" customHeight="1">
      <c r="A11" s="648" t="s">
        <v>2373</v>
      </c>
      <c r="B11" s="29" t="s">
        <v>19</v>
      </c>
      <c r="C11" s="644" t="s">
        <v>21</v>
      </c>
      <c r="D11" s="645"/>
      <c r="E11" s="29">
        <v>39.799999999999997</v>
      </c>
      <c r="F11" s="485">
        <v>4200</v>
      </c>
      <c r="G11" s="475">
        <f t="shared" si="11"/>
        <v>167160</v>
      </c>
      <c r="H11" s="33">
        <v>2</v>
      </c>
      <c r="I11" s="483">
        <v>17</v>
      </c>
      <c r="J11" s="31">
        <v>1500</v>
      </c>
      <c r="K11" s="12">
        <f t="shared" si="1"/>
        <v>88.235294117647058</v>
      </c>
      <c r="L11" s="483">
        <v>17</v>
      </c>
      <c r="M11" s="13">
        <f t="shared" si="12"/>
        <v>1431.8181818181818</v>
      </c>
      <c r="N11" s="12">
        <f t="shared" si="3"/>
        <v>84.224598930481278</v>
      </c>
      <c r="O11" s="14">
        <f t="shared" si="4"/>
        <v>0</v>
      </c>
      <c r="P11" s="15">
        <f t="shared" si="5"/>
        <v>-4.0106951871657799</v>
      </c>
      <c r="Q11" s="474">
        <f t="shared" si="6"/>
        <v>0.95454545454545447</v>
      </c>
      <c r="R11" s="615"/>
      <c r="S11" s="34">
        <v>0.35347222222222224</v>
      </c>
      <c r="T11" s="34">
        <v>0.47569444444444448</v>
      </c>
      <c r="U11" s="475">
        <f t="shared" si="14"/>
        <v>6.9999999999999751</v>
      </c>
      <c r="V11" s="484">
        <f t="shared" si="13"/>
        <v>176</v>
      </c>
      <c r="W11" s="16">
        <f>T11</f>
        <v>0.47569444444444448</v>
      </c>
      <c r="X11" s="16">
        <f>S12</f>
        <v>0.51666666666666661</v>
      </c>
      <c r="Y11" s="16"/>
      <c r="Z11" s="16"/>
      <c r="AA11" s="617"/>
      <c r="AB11" s="617"/>
      <c r="AC11" s="35"/>
      <c r="AD11" s="18"/>
      <c r="AE11" s="14">
        <f t="shared" si="8"/>
        <v>-68.181818181818244</v>
      </c>
      <c r="AF11" s="474">
        <f t="shared" si="9"/>
        <v>0.95454545454545447</v>
      </c>
      <c r="AG11" s="615"/>
    </row>
    <row r="12" spans="1:33" ht="15.75" customHeight="1">
      <c r="A12" s="648" t="s">
        <v>2374</v>
      </c>
      <c r="B12" s="29" t="s">
        <v>19</v>
      </c>
      <c r="C12" s="644" t="s">
        <v>21</v>
      </c>
      <c r="D12" s="645"/>
      <c r="E12" s="29">
        <v>39.799999999999997</v>
      </c>
      <c r="F12" s="485">
        <v>2125</v>
      </c>
      <c r="G12" s="475">
        <f t="shared" si="11"/>
        <v>84575</v>
      </c>
      <c r="H12" s="33" t="s">
        <v>57</v>
      </c>
      <c r="I12" s="483">
        <v>17</v>
      </c>
      <c r="J12" s="31">
        <v>1500</v>
      </c>
      <c r="K12" s="12">
        <f t="shared" si="1"/>
        <v>88.235294117647058</v>
      </c>
      <c r="L12" s="483">
        <v>17</v>
      </c>
      <c r="M12" s="13">
        <f t="shared" si="12"/>
        <v>1432.5842696629213</v>
      </c>
      <c r="N12" s="12">
        <f t="shared" si="3"/>
        <v>84.269662921348313</v>
      </c>
      <c r="O12" s="14">
        <f t="shared" si="4"/>
        <v>0</v>
      </c>
      <c r="P12" s="15">
        <f t="shared" si="5"/>
        <v>-3.9656311962987445</v>
      </c>
      <c r="Q12" s="474">
        <f t="shared" si="6"/>
        <v>0.9550561797752809</v>
      </c>
      <c r="R12" s="615"/>
      <c r="S12" s="34">
        <v>0.51666666666666661</v>
      </c>
      <c r="T12" s="34">
        <v>0.57847222222222217</v>
      </c>
      <c r="U12" s="475">
        <f t="shared" si="14"/>
        <v>58.999999999999872</v>
      </c>
      <c r="V12" s="484">
        <f t="shared" si="13"/>
        <v>89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-67.415730337078685</v>
      </c>
      <c r="AF12" s="474">
        <f t="shared" si="9"/>
        <v>0.9550561797752809</v>
      </c>
      <c r="AG12" s="615"/>
    </row>
    <row r="13" spans="1:33" ht="16.5" customHeight="1">
      <c r="A13" s="648" t="s">
        <v>2374</v>
      </c>
      <c r="B13" s="29" t="s">
        <v>2375</v>
      </c>
      <c r="C13" s="618"/>
      <c r="D13" s="618"/>
      <c r="E13" s="476"/>
      <c r="F13" s="31"/>
      <c r="G13" s="13"/>
      <c r="H13" s="485"/>
      <c r="I13" s="23">
        <v>17</v>
      </c>
      <c r="J13" s="31">
        <v>1500</v>
      </c>
      <c r="K13" s="12">
        <f t="shared" si="1"/>
        <v>88.235294117647058</v>
      </c>
      <c r="L13" s="23">
        <v>17</v>
      </c>
      <c r="M13" s="13">
        <f>AVERAGE(M9:M12)</f>
        <v>1430.7875198911486</v>
      </c>
      <c r="N13" s="12">
        <f t="shared" si="3"/>
        <v>84.163971758302864</v>
      </c>
      <c r="O13" s="14">
        <f t="shared" si="4"/>
        <v>0</v>
      </c>
      <c r="P13" s="15">
        <f t="shared" si="5"/>
        <v>-4.0713223593441938</v>
      </c>
      <c r="Q13" s="474">
        <f t="shared" si="6"/>
        <v>0.95385834659409918</v>
      </c>
      <c r="R13" s="615"/>
      <c r="S13" s="34"/>
      <c r="T13" s="34"/>
      <c r="U13" s="12"/>
      <c r="V13" s="484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-69.212480108851423</v>
      </c>
      <c r="AF13" s="474">
        <f t="shared" si="9"/>
        <v>0.95385834659409907</v>
      </c>
      <c r="AG13" s="615"/>
    </row>
    <row r="14" spans="1:33" ht="16.5" customHeight="1">
      <c r="A14" s="646" t="s">
        <v>2376</v>
      </c>
      <c r="B14" s="485" t="s">
        <v>22</v>
      </c>
      <c r="C14" s="640" t="s">
        <v>23</v>
      </c>
      <c r="D14" s="640"/>
      <c r="E14" s="29">
        <v>41</v>
      </c>
      <c r="F14" s="485">
        <v>1665</v>
      </c>
      <c r="G14" s="475">
        <f t="shared" ref="G14:G20" si="15">E14*F14</f>
        <v>68265</v>
      </c>
      <c r="H14" s="33" t="s">
        <v>57</v>
      </c>
      <c r="I14" s="483">
        <v>26</v>
      </c>
      <c r="J14" s="31">
        <v>1500</v>
      </c>
      <c r="K14" s="12">
        <f t="shared" si="1"/>
        <v>57.692307692307693</v>
      </c>
      <c r="L14" s="483">
        <v>26</v>
      </c>
      <c r="M14" s="13">
        <f t="shared" ref="M14:M20" si="16">F14/V14*60</f>
        <v>1427.1428571428569</v>
      </c>
      <c r="N14" s="12">
        <f t="shared" si="3"/>
        <v>54.890109890109883</v>
      </c>
      <c r="O14" s="14">
        <f t="shared" si="4"/>
        <v>0</v>
      </c>
      <c r="P14" s="15">
        <f t="shared" si="5"/>
        <v>-2.80219780219781</v>
      </c>
      <c r="Q14" s="474">
        <f t="shared" si="6"/>
        <v>0.95142857142857129</v>
      </c>
      <c r="R14" s="615">
        <f>Q21</f>
        <v>0.9564092408905408</v>
      </c>
      <c r="S14" s="34">
        <v>8.3333333333333329E-2</v>
      </c>
      <c r="T14" s="34">
        <v>0.13194444444444445</v>
      </c>
      <c r="U14" s="475"/>
      <c r="V14" s="484">
        <f t="shared" ref="V14:V20" si="17">(T14-S14)*24*60</f>
        <v>70.000000000000014</v>
      </c>
      <c r="W14" s="16">
        <f>T14</f>
        <v>0.13194444444444445</v>
      </c>
      <c r="X14" s="16">
        <f>S15</f>
        <v>0.15208333333333335</v>
      </c>
      <c r="Y14" s="21"/>
      <c r="Z14" s="21"/>
      <c r="AA14" s="617"/>
      <c r="AB14" s="617"/>
      <c r="AC14" s="35">
        <v>7</v>
      </c>
      <c r="AD14" s="18"/>
      <c r="AE14" s="14">
        <f t="shared" si="8"/>
        <v>-72.857142857143117</v>
      </c>
      <c r="AF14" s="474">
        <f t="shared" si="9"/>
        <v>0.95142857142857129</v>
      </c>
      <c r="AG14" s="615">
        <f>AF21</f>
        <v>0.95640924089054091</v>
      </c>
    </row>
    <row r="15" spans="1:33" ht="16.5" customHeight="1">
      <c r="A15" s="647" t="s">
        <v>2377</v>
      </c>
      <c r="B15" s="485" t="s">
        <v>22</v>
      </c>
      <c r="C15" s="640" t="s">
        <v>87</v>
      </c>
      <c r="D15" s="640"/>
      <c r="E15" s="29">
        <v>38.619999999999997</v>
      </c>
      <c r="F15" s="485">
        <v>1931</v>
      </c>
      <c r="G15" s="475">
        <f t="shared" si="15"/>
        <v>74575.22</v>
      </c>
      <c r="H15" s="33" t="s">
        <v>57</v>
      </c>
      <c r="I15" s="483">
        <v>24</v>
      </c>
      <c r="J15" s="31">
        <v>1500</v>
      </c>
      <c r="K15" s="12">
        <f t="shared" si="1"/>
        <v>62.5</v>
      </c>
      <c r="L15" s="483">
        <v>24</v>
      </c>
      <c r="M15" s="13">
        <f t="shared" si="16"/>
        <v>1430.3703703703707</v>
      </c>
      <c r="N15" s="12">
        <f t="shared" si="3"/>
        <v>59.59876543209878</v>
      </c>
      <c r="O15" s="14">
        <f t="shared" si="4"/>
        <v>0</v>
      </c>
      <c r="P15" s="15">
        <f t="shared" si="5"/>
        <v>-2.9012345679012199</v>
      </c>
      <c r="Q15" s="474">
        <f t="shared" si="6"/>
        <v>0.95358024691358045</v>
      </c>
      <c r="R15" s="615"/>
      <c r="S15" s="34">
        <v>0.15208333333333335</v>
      </c>
      <c r="T15" s="34">
        <v>0.20833333333333334</v>
      </c>
      <c r="U15" s="475">
        <f t="shared" ref="U15:U20" si="18">IF(S15=TIME(17,0,0),"",(S15-T14)*24*60)</f>
        <v>29.000000000000018</v>
      </c>
      <c r="V15" s="484">
        <f t="shared" si="17"/>
        <v>80.999999999999986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-69.629629629629335</v>
      </c>
      <c r="AF15" s="474">
        <f t="shared" si="9"/>
        <v>0.95358024691358045</v>
      </c>
      <c r="AG15" s="615"/>
    </row>
    <row r="16" spans="1:33" ht="16.5" customHeight="1">
      <c r="A16" s="647" t="s">
        <v>2378</v>
      </c>
      <c r="B16" s="485" t="s">
        <v>15</v>
      </c>
      <c r="C16" s="640" t="s">
        <v>86</v>
      </c>
      <c r="D16" s="640"/>
      <c r="E16" s="29">
        <v>37.03</v>
      </c>
      <c r="F16" s="485">
        <v>3035</v>
      </c>
      <c r="G16" s="475">
        <f t="shared" si="15"/>
        <v>112386.05</v>
      </c>
      <c r="H16" s="33" t="s">
        <v>57</v>
      </c>
      <c r="I16" s="483">
        <v>13</v>
      </c>
      <c r="J16" s="31">
        <v>1500</v>
      </c>
      <c r="K16" s="12">
        <f t="shared" si="1"/>
        <v>115.38461538461539</v>
      </c>
      <c r="L16" s="483">
        <v>13</v>
      </c>
      <c r="M16" s="13">
        <f t="shared" si="16"/>
        <v>1433.858267716535</v>
      </c>
      <c r="N16" s="12">
        <f t="shared" si="3"/>
        <v>110.29678982434885</v>
      </c>
      <c r="O16" s="14">
        <f t="shared" si="4"/>
        <v>0</v>
      </c>
      <c r="P16" s="15">
        <f t="shared" si="5"/>
        <v>-5.0878255602665377</v>
      </c>
      <c r="Q16" s="474">
        <f t="shared" si="6"/>
        <v>0.95590551181102335</v>
      </c>
      <c r="R16" s="615"/>
      <c r="S16" s="34">
        <v>0.21319444444444446</v>
      </c>
      <c r="T16" s="34">
        <v>0.30138888888888893</v>
      </c>
      <c r="U16" s="475">
        <f t="shared" si="18"/>
        <v>7.0000000000000151</v>
      </c>
      <c r="V16" s="484">
        <f t="shared" si="17"/>
        <v>127.00000000000003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-66.141732283464989</v>
      </c>
      <c r="AF16" s="474">
        <f t="shared" si="9"/>
        <v>0.95590551181102335</v>
      </c>
      <c r="AG16" s="615"/>
    </row>
    <row r="17" spans="1:33" ht="16.5" customHeight="1">
      <c r="A17" s="647" t="s">
        <v>2377</v>
      </c>
      <c r="B17" s="485" t="s">
        <v>19</v>
      </c>
      <c r="C17" s="640" t="s">
        <v>267</v>
      </c>
      <c r="D17" s="640"/>
      <c r="E17" s="29">
        <v>39.520000000000003</v>
      </c>
      <c r="F17" s="485">
        <v>3261</v>
      </c>
      <c r="G17" s="475">
        <f t="shared" si="15"/>
        <v>128874.72000000002</v>
      </c>
      <c r="H17" s="33" t="s">
        <v>57</v>
      </c>
      <c r="I17" s="483">
        <v>19</v>
      </c>
      <c r="J17" s="31">
        <v>1500</v>
      </c>
      <c r="K17" s="12">
        <f t="shared" si="1"/>
        <v>78.94736842105263</v>
      </c>
      <c r="L17" s="483">
        <v>19</v>
      </c>
      <c r="M17" s="13">
        <f t="shared" si="16"/>
        <v>1428.1751824817518</v>
      </c>
      <c r="N17" s="12">
        <f t="shared" si="3"/>
        <v>75.167114867460626</v>
      </c>
      <c r="O17" s="14">
        <f t="shared" si="4"/>
        <v>0</v>
      </c>
      <c r="P17" s="15">
        <f t="shared" si="5"/>
        <v>-3.7802535535920043</v>
      </c>
      <c r="Q17" s="474">
        <f t="shared" si="6"/>
        <v>0.95211678832116797</v>
      </c>
      <c r="R17" s="615"/>
      <c r="S17" s="34">
        <v>0.30486111111111114</v>
      </c>
      <c r="T17" s="34">
        <v>0.4</v>
      </c>
      <c r="U17" s="475">
        <f t="shared" si="18"/>
        <v>4.9999999999999822</v>
      </c>
      <c r="V17" s="484">
        <f t="shared" si="17"/>
        <v>137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-71.82481751824821</v>
      </c>
      <c r="AF17" s="474">
        <f t="shared" si="9"/>
        <v>0.95211678832116786</v>
      </c>
      <c r="AG17" s="615"/>
    </row>
    <row r="18" spans="1:33" ht="16.5" customHeight="1">
      <c r="A18" s="647" t="s">
        <v>2379</v>
      </c>
      <c r="B18" s="485" t="s">
        <v>15</v>
      </c>
      <c r="C18" s="640" t="s">
        <v>25</v>
      </c>
      <c r="D18" s="640"/>
      <c r="E18" s="29">
        <v>53.68</v>
      </c>
      <c r="F18" s="485">
        <v>873</v>
      </c>
      <c r="G18" s="475">
        <f t="shared" si="15"/>
        <v>46862.64</v>
      </c>
      <c r="H18" s="33" t="s">
        <v>57</v>
      </c>
      <c r="I18" s="483">
        <v>16</v>
      </c>
      <c r="J18" s="31">
        <v>1500</v>
      </c>
      <c r="K18" s="12">
        <f t="shared" si="1"/>
        <v>93.75</v>
      </c>
      <c r="L18" s="483">
        <v>16</v>
      </c>
      <c r="M18" s="13">
        <f t="shared" si="16"/>
        <v>1454.9999999999989</v>
      </c>
      <c r="N18" s="12">
        <f t="shared" si="3"/>
        <v>90.937499999999929</v>
      </c>
      <c r="O18" s="14">
        <f t="shared" si="4"/>
        <v>0</v>
      </c>
      <c r="P18" s="15">
        <f t="shared" si="5"/>
        <v>-2.8125000000000711</v>
      </c>
      <c r="Q18" s="474">
        <f t="shared" si="6"/>
        <v>0.9699999999999992</v>
      </c>
      <c r="R18" s="615"/>
      <c r="S18" s="34">
        <v>0.70833333333333337</v>
      </c>
      <c r="T18" s="34">
        <v>0.73333333333333339</v>
      </c>
      <c r="U18" s="475" t="str">
        <f t="shared" si="18"/>
        <v/>
      </c>
      <c r="V18" s="484">
        <f t="shared" si="17"/>
        <v>36.000000000000028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-45.000000000001137</v>
      </c>
      <c r="AF18" s="474">
        <f t="shared" si="9"/>
        <v>0.9699999999999992</v>
      </c>
      <c r="AG18" s="615"/>
    </row>
    <row r="19" spans="1:33" ht="16.5" customHeight="1">
      <c r="A19" s="647" t="s">
        <v>2376</v>
      </c>
      <c r="B19" s="485" t="s">
        <v>15</v>
      </c>
      <c r="C19" s="487" t="s">
        <v>18</v>
      </c>
      <c r="D19" s="488"/>
      <c r="E19" s="29">
        <v>52.86</v>
      </c>
      <c r="F19" s="485">
        <v>983</v>
      </c>
      <c r="G19" s="475">
        <f t="shared" si="15"/>
        <v>51961.38</v>
      </c>
      <c r="H19" s="33" t="s">
        <v>57</v>
      </c>
      <c r="I19" s="483">
        <v>16</v>
      </c>
      <c r="J19" s="31">
        <v>2000</v>
      </c>
      <c r="K19" s="12">
        <f t="shared" si="1"/>
        <v>125</v>
      </c>
      <c r="L19" s="483">
        <v>16</v>
      </c>
      <c r="M19" s="13">
        <f t="shared" si="16"/>
        <v>1902.5806451612873</v>
      </c>
      <c r="N19" s="12">
        <f t="shared" si="3"/>
        <v>118.91129032258046</v>
      </c>
      <c r="O19" s="14">
        <f t="shared" si="4"/>
        <v>0</v>
      </c>
      <c r="P19" s="15">
        <f t="shared" si="5"/>
        <v>-6.0887096774195442</v>
      </c>
      <c r="Q19" s="474">
        <f t="shared" si="6"/>
        <v>0.95129032258064361</v>
      </c>
      <c r="R19" s="615"/>
      <c r="S19" s="34">
        <v>0.73819444444444449</v>
      </c>
      <c r="T19" s="34">
        <v>0.7597222222222223</v>
      </c>
      <c r="U19" s="475">
        <f t="shared" si="18"/>
        <v>6.9999999999999751</v>
      </c>
      <c r="V19" s="484">
        <f t="shared" si="17"/>
        <v>31.00000000000005</v>
      </c>
      <c r="W19" s="16"/>
      <c r="X19" s="16"/>
      <c r="Y19" s="19"/>
      <c r="Z19" s="19"/>
      <c r="AA19" s="481"/>
      <c r="AB19" s="482"/>
      <c r="AC19" s="35"/>
      <c r="AD19" s="18"/>
      <c r="AE19" s="14">
        <f t="shared" si="8"/>
        <v>-97.419354838712707</v>
      </c>
      <c r="AF19" s="474">
        <f t="shared" si="9"/>
        <v>0.95129032258064361</v>
      </c>
      <c r="AG19" s="615"/>
    </row>
    <row r="20" spans="1:33" ht="16.5" customHeight="1">
      <c r="A20" s="647" t="s">
        <v>2376</v>
      </c>
      <c r="B20" s="485" t="s">
        <v>15</v>
      </c>
      <c r="C20" s="487" t="s">
        <v>16</v>
      </c>
      <c r="D20" s="488"/>
      <c r="E20" s="29">
        <v>50.67</v>
      </c>
      <c r="F20" s="485">
        <v>1217</v>
      </c>
      <c r="G20" s="475">
        <f t="shared" si="15"/>
        <v>61665.39</v>
      </c>
      <c r="H20" s="33" t="s">
        <v>57</v>
      </c>
      <c r="I20" s="483">
        <v>17</v>
      </c>
      <c r="J20" s="31">
        <v>2000</v>
      </c>
      <c r="K20" s="12">
        <f t="shared" si="1"/>
        <v>117.64705882352941</v>
      </c>
      <c r="L20" s="483">
        <v>17</v>
      </c>
      <c r="M20" s="13">
        <f t="shared" si="16"/>
        <v>1921.5789473684199</v>
      </c>
      <c r="N20" s="12">
        <f t="shared" si="3"/>
        <v>113.03405572755412</v>
      </c>
      <c r="O20" s="14">
        <f t="shared" si="4"/>
        <v>0</v>
      </c>
      <c r="P20" s="15">
        <f t="shared" si="5"/>
        <v>-4.6130030959752872</v>
      </c>
      <c r="Q20" s="474">
        <f t="shared" si="6"/>
        <v>0.96078947368421008</v>
      </c>
      <c r="R20" s="615"/>
      <c r="S20" s="34">
        <v>0.76527777777777783</v>
      </c>
      <c r="T20" s="34">
        <v>0.79166666666666674</v>
      </c>
      <c r="U20" s="475">
        <f t="shared" si="18"/>
        <v>7.9999999999999716</v>
      </c>
      <c r="V20" s="484">
        <f t="shared" si="17"/>
        <v>38.000000000000028</v>
      </c>
      <c r="W20" s="16"/>
      <c r="X20" s="16"/>
      <c r="Y20" s="19"/>
      <c r="Z20" s="19"/>
      <c r="AA20" s="481"/>
      <c r="AB20" s="482"/>
      <c r="AC20" s="35"/>
      <c r="AD20" s="18"/>
      <c r="AE20" s="14">
        <f t="shared" si="8"/>
        <v>-78.421052631580096</v>
      </c>
      <c r="AF20" s="474">
        <f t="shared" si="9"/>
        <v>0.96078947368420997</v>
      </c>
      <c r="AG20" s="615"/>
    </row>
    <row r="21" spans="1:33" ht="16.5" customHeight="1">
      <c r="A21" s="647" t="s">
        <v>2376</v>
      </c>
      <c r="B21" s="29" t="s">
        <v>2375</v>
      </c>
      <c r="C21" s="618"/>
      <c r="D21" s="618"/>
      <c r="E21" s="476"/>
      <c r="F21" s="30"/>
      <c r="G21" s="12"/>
      <c r="H21" s="485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1571.243752891603</v>
      </c>
      <c r="N21" s="12">
        <f t="shared" si="3"/>
        <v>83.959589849169618</v>
      </c>
      <c r="O21" s="14">
        <f t="shared" si="4"/>
        <v>0</v>
      </c>
      <c r="P21" s="15">
        <f t="shared" si="5"/>
        <v>-3.8266696928151163</v>
      </c>
      <c r="Q21" s="474">
        <f t="shared" si="6"/>
        <v>0.9564092408905408</v>
      </c>
      <c r="R21" s="615"/>
      <c r="S21" s="34"/>
      <c r="T21" s="34"/>
      <c r="U21" s="475"/>
      <c r="V21" s="484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-71.613389965539909</v>
      </c>
      <c r="AF21" s="474">
        <f t="shared" si="9"/>
        <v>0.95640924089054091</v>
      </c>
      <c r="AG21" s="615"/>
    </row>
    <row r="22" spans="1:33" ht="15.75" customHeight="1">
      <c r="A22" s="642" t="s">
        <v>2380</v>
      </c>
      <c r="B22" s="29" t="s">
        <v>15</v>
      </c>
      <c r="C22" s="640" t="s">
        <v>28</v>
      </c>
      <c r="D22" s="640"/>
      <c r="E22" s="29">
        <v>50.67</v>
      </c>
      <c r="F22" s="485">
        <v>1455</v>
      </c>
      <c r="G22" s="475">
        <f t="shared" ref="G22:G27" si="19">E22*F22</f>
        <v>73724.850000000006</v>
      </c>
      <c r="H22" s="33" t="s">
        <v>57</v>
      </c>
      <c r="I22" s="483">
        <v>17</v>
      </c>
      <c r="J22" s="31">
        <v>2000</v>
      </c>
      <c r="K22" s="12">
        <f t="shared" si="1"/>
        <v>117.64705882352941</v>
      </c>
      <c r="L22" s="483">
        <v>17</v>
      </c>
      <c r="M22" s="13">
        <f t="shared" ref="M22:M27" si="20">F22/V22*60</f>
        <v>1940.0000000000002</v>
      </c>
      <c r="N22" s="12">
        <f t="shared" si="3"/>
        <v>114.11764705882354</v>
      </c>
      <c r="O22" s="14">
        <f t="shared" si="4"/>
        <v>0</v>
      </c>
      <c r="P22" s="15">
        <f t="shared" si="5"/>
        <v>-3.5294117647058698</v>
      </c>
      <c r="Q22" s="474">
        <f t="shared" si="6"/>
        <v>0.97000000000000008</v>
      </c>
      <c r="R22" s="615">
        <f>Q28</f>
        <v>0.95985724378408399</v>
      </c>
      <c r="S22" s="34">
        <v>0.20833333333333334</v>
      </c>
      <c r="T22" s="34">
        <v>0.23958333333333334</v>
      </c>
      <c r="U22" s="475"/>
      <c r="V22" s="484">
        <f t="shared" ref="V22:V27" si="21">(T22-S22)*24*60</f>
        <v>45</v>
      </c>
      <c r="W22" s="21"/>
      <c r="X22" s="21"/>
      <c r="Y22" s="21"/>
      <c r="Z22" s="21"/>
      <c r="AA22" s="617"/>
      <c r="AB22" s="617"/>
      <c r="AC22" s="35">
        <v>6</v>
      </c>
      <c r="AD22" s="18"/>
      <c r="AE22" s="14">
        <f t="shared" si="8"/>
        <v>-59.999999999999773</v>
      </c>
      <c r="AF22" s="474">
        <f t="shared" si="9"/>
        <v>0.97000000000000008</v>
      </c>
      <c r="AG22" s="615">
        <f>AF28</f>
        <v>0.95985724378408399</v>
      </c>
    </row>
    <row r="23" spans="1:33" ht="15.75" customHeight="1">
      <c r="A23" s="643" t="s">
        <v>2381</v>
      </c>
      <c r="B23" s="29" t="s">
        <v>15</v>
      </c>
      <c r="C23" s="640" t="s">
        <v>29</v>
      </c>
      <c r="D23" s="640"/>
      <c r="E23" s="29">
        <v>57.73</v>
      </c>
      <c r="F23" s="485">
        <v>1829</v>
      </c>
      <c r="G23" s="475">
        <f t="shared" si="19"/>
        <v>105588.17</v>
      </c>
      <c r="H23" s="33" t="s">
        <v>57</v>
      </c>
      <c r="I23" s="483">
        <v>14</v>
      </c>
      <c r="J23" s="31">
        <v>2000</v>
      </c>
      <c r="K23" s="12">
        <f t="shared" si="1"/>
        <v>142.85714285714286</v>
      </c>
      <c r="L23" s="483">
        <v>14</v>
      </c>
      <c r="M23" s="13">
        <f t="shared" si="20"/>
        <v>1925.2631578947382</v>
      </c>
      <c r="N23" s="12">
        <f t="shared" si="3"/>
        <v>137.5187969924813</v>
      </c>
      <c r="O23" s="14">
        <f t="shared" si="4"/>
        <v>0</v>
      </c>
      <c r="P23" s="15">
        <f t="shared" si="5"/>
        <v>-5.3383458646615622</v>
      </c>
      <c r="Q23" s="474">
        <f t="shared" si="6"/>
        <v>0.96263157894736906</v>
      </c>
      <c r="R23" s="615"/>
      <c r="S23" s="34">
        <v>0.24444444444444446</v>
      </c>
      <c r="T23" s="34">
        <v>0.28402777777777777</v>
      </c>
      <c r="U23" s="475">
        <f t="shared" ref="U23:U27" si="22">IF(S23=TIME(17,0,0),"",(S23-T22)*24*60)</f>
        <v>7.0000000000000151</v>
      </c>
      <c r="V23" s="484">
        <f t="shared" si="21"/>
        <v>56.999999999999957</v>
      </c>
      <c r="W23" s="16"/>
      <c r="X23" s="475"/>
      <c r="Y23" s="475"/>
      <c r="Z23" s="475"/>
      <c r="AA23" s="617"/>
      <c r="AB23" s="617"/>
      <c r="AC23" s="35"/>
      <c r="AD23" s="18"/>
      <c r="AE23" s="14">
        <f t="shared" si="8"/>
        <v>-74.736842105261758</v>
      </c>
      <c r="AF23" s="474">
        <f t="shared" si="9"/>
        <v>0.96263157894736917</v>
      </c>
      <c r="AG23" s="615"/>
    </row>
    <row r="24" spans="1:33" ht="15.75" customHeight="1">
      <c r="A24" s="643" t="s">
        <v>2380</v>
      </c>
      <c r="B24" s="29" t="s">
        <v>15</v>
      </c>
      <c r="C24" s="640" t="s">
        <v>80</v>
      </c>
      <c r="D24" s="640"/>
      <c r="E24" s="29">
        <v>53.27</v>
      </c>
      <c r="F24" s="485">
        <v>1306</v>
      </c>
      <c r="G24" s="475">
        <f t="shared" si="19"/>
        <v>69570.62000000001</v>
      </c>
      <c r="H24" s="33" t="s">
        <v>57</v>
      </c>
      <c r="I24" s="483">
        <v>16</v>
      </c>
      <c r="J24" s="31">
        <v>2000</v>
      </c>
      <c r="K24" s="12">
        <f t="shared" si="1"/>
        <v>125</v>
      </c>
      <c r="L24" s="483">
        <v>16</v>
      </c>
      <c r="M24" s="13">
        <f t="shared" si="20"/>
        <v>1911.2195121951213</v>
      </c>
      <c r="N24" s="12">
        <f t="shared" si="3"/>
        <v>119.45121951219508</v>
      </c>
      <c r="O24" s="14">
        <f t="shared" si="4"/>
        <v>0</v>
      </c>
      <c r="P24" s="15">
        <f t="shared" si="5"/>
        <v>-5.5487804878049189</v>
      </c>
      <c r="Q24" s="474">
        <f t="shared" si="6"/>
        <v>0.9556097560975606</v>
      </c>
      <c r="R24" s="615"/>
      <c r="S24" s="34">
        <v>0.28819444444444442</v>
      </c>
      <c r="T24" s="34">
        <v>0.31666666666666665</v>
      </c>
      <c r="U24" s="475">
        <f t="shared" si="22"/>
        <v>5.9999999999999787</v>
      </c>
      <c r="V24" s="484">
        <f t="shared" si="21"/>
        <v>41.000000000000014</v>
      </c>
      <c r="W24" s="16"/>
      <c r="X24" s="475"/>
      <c r="Y24" s="475"/>
      <c r="Z24" s="475"/>
      <c r="AA24" s="617"/>
      <c r="AB24" s="617"/>
      <c r="AC24" s="35"/>
      <c r="AD24" s="18"/>
      <c r="AE24" s="14">
        <f t="shared" si="8"/>
        <v>-88.780487804878703</v>
      </c>
      <c r="AF24" s="474">
        <f t="shared" si="9"/>
        <v>0.9556097560975606</v>
      </c>
      <c r="AG24" s="615"/>
    </row>
    <row r="25" spans="1:33" ht="15.75" customHeight="1">
      <c r="A25" s="643" t="s">
        <v>2381</v>
      </c>
      <c r="B25" s="29" t="s">
        <v>15</v>
      </c>
      <c r="C25" s="640" t="s">
        <v>1472</v>
      </c>
      <c r="D25" s="640"/>
      <c r="E25" s="29">
        <v>51.44</v>
      </c>
      <c r="F25" s="485">
        <v>2396</v>
      </c>
      <c r="G25" s="475">
        <f t="shared" si="19"/>
        <v>123250.23999999999</v>
      </c>
      <c r="H25" s="33" t="s">
        <v>57</v>
      </c>
      <c r="I25" s="483">
        <v>25</v>
      </c>
      <c r="J25" s="31">
        <v>2000</v>
      </c>
      <c r="K25" s="12">
        <f t="shared" si="1"/>
        <v>80</v>
      </c>
      <c r="L25" s="483">
        <v>25</v>
      </c>
      <c r="M25" s="13">
        <f t="shared" si="20"/>
        <v>1916.8000000000009</v>
      </c>
      <c r="N25" s="12">
        <f t="shared" si="3"/>
        <v>76.67200000000004</v>
      </c>
      <c r="O25" s="14">
        <f t="shared" si="4"/>
        <v>0</v>
      </c>
      <c r="P25" s="15">
        <f t="shared" si="5"/>
        <v>-3.3279999999999603</v>
      </c>
      <c r="Q25" s="474">
        <f t="shared" si="6"/>
        <v>0.95840000000000047</v>
      </c>
      <c r="R25" s="615"/>
      <c r="S25" s="34">
        <v>0.3208333333333333</v>
      </c>
      <c r="T25" s="34">
        <v>0.37291666666666662</v>
      </c>
      <c r="U25" s="475">
        <f t="shared" si="22"/>
        <v>5.9999999999999787</v>
      </c>
      <c r="V25" s="484">
        <f t="shared" si="21"/>
        <v>74.999999999999972</v>
      </c>
      <c r="W25" s="16"/>
      <c r="X25" s="475"/>
      <c r="Y25" s="475"/>
      <c r="Z25" s="475"/>
      <c r="AA25" s="617"/>
      <c r="AB25" s="617"/>
      <c r="AC25" s="35"/>
      <c r="AD25" s="18"/>
      <c r="AE25" s="14">
        <f t="shared" si="8"/>
        <v>-83.199999999999136</v>
      </c>
      <c r="AF25" s="474">
        <f t="shared" si="9"/>
        <v>0.95840000000000047</v>
      </c>
      <c r="AG25" s="615"/>
    </row>
    <row r="26" spans="1:33" ht="15.75" customHeight="1">
      <c r="A26" s="643" t="s">
        <v>2380</v>
      </c>
      <c r="B26" s="29" t="s">
        <v>15</v>
      </c>
      <c r="C26" s="640" t="s">
        <v>30</v>
      </c>
      <c r="D26" s="640"/>
      <c r="E26" s="29">
        <v>50.49</v>
      </c>
      <c r="F26" s="485">
        <v>1491</v>
      </c>
      <c r="G26" s="475">
        <f t="shared" si="19"/>
        <v>75280.59</v>
      </c>
      <c r="H26" s="33" t="s">
        <v>57</v>
      </c>
      <c r="I26" s="483">
        <v>15</v>
      </c>
      <c r="J26" s="31">
        <v>2000</v>
      </c>
      <c r="K26" s="12">
        <f t="shared" si="1"/>
        <v>133.33333333333334</v>
      </c>
      <c r="L26" s="483">
        <v>15</v>
      </c>
      <c r="M26" s="13">
        <f t="shared" si="20"/>
        <v>1903.4042553191491</v>
      </c>
      <c r="N26" s="12">
        <f t="shared" si="3"/>
        <v>126.89361702127661</v>
      </c>
      <c r="O26" s="14">
        <f t="shared" si="4"/>
        <v>0</v>
      </c>
      <c r="P26" s="15">
        <f t="shared" si="5"/>
        <v>-6.4397163120567313</v>
      </c>
      <c r="Q26" s="474">
        <f t="shared" si="6"/>
        <v>0.95170212765957451</v>
      </c>
      <c r="R26" s="615"/>
      <c r="S26" s="34">
        <v>0.70833333333333337</v>
      </c>
      <c r="T26" s="34">
        <v>0.74097222222222225</v>
      </c>
      <c r="U26" s="475" t="str">
        <f t="shared" si="22"/>
        <v/>
      </c>
      <c r="V26" s="484">
        <f t="shared" si="21"/>
        <v>46.999999999999993</v>
      </c>
      <c r="W26" s="16"/>
      <c r="X26" s="16"/>
      <c r="Y26" s="475"/>
      <c r="Z26" s="475"/>
      <c r="AA26" s="617"/>
      <c r="AB26" s="617"/>
      <c r="AC26" s="35"/>
      <c r="AD26" s="18"/>
      <c r="AE26" s="14">
        <f t="shared" si="8"/>
        <v>-96.595744680850885</v>
      </c>
      <c r="AF26" s="474">
        <f t="shared" si="9"/>
        <v>0.95170212765957451</v>
      </c>
      <c r="AG26" s="615"/>
    </row>
    <row r="27" spans="1:33" ht="15.75" customHeight="1">
      <c r="A27" s="643" t="s">
        <v>2380</v>
      </c>
      <c r="B27" s="29" t="s">
        <v>15</v>
      </c>
      <c r="C27" s="640" t="s">
        <v>82</v>
      </c>
      <c r="D27" s="640"/>
      <c r="E27" s="29">
        <v>51.06</v>
      </c>
      <c r="F27" s="485">
        <v>2402</v>
      </c>
      <c r="G27" s="475">
        <f t="shared" si="19"/>
        <v>122646.12000000001</v>
      </c>
      <c r="H27" s="33" t="s">
        <v>57</v>
      </c>
      <c r="I27" s="483">
        <v>13</v>
      </c>
      <c r="J27" s="31">
        <v>2000</v>
      </c>
      <c r="K27" s="12">
        <f t="shared" si="1"/>
        <v>153.84615384615384</v>
      </c>
      <c r="L27" s="483">
        <v>13</v>
      </c>
      <c r="M27" s="13">
        <f t="shared" si="20"/>
        <v>1921.5999999999985</v>
      </c>
      <c r="N27" s="12">
        <f t="shared" si="3"/>
        <v>147.81538461538452</v>
      </c>
      <c r="O27" s="14">
        <f t="shared" si="4"/>
        <v>0</v>
      </c>
      <c r="P27" s="15">
        <f t="shared" si="5"/>
        <v>-6.030769230769323</v>
      </c>
      <c r="Q27" s="474">
        <f t="shared" si="6"/>
        <v>0.96079999999999943</v>
      </c>
      <c r="R27" s="615"/>
      <c r="S27" s="34">
        <v>0.74583333333333335</v>
      </c>
      <c r="T27" s="34">
        <v>0.79791666666666672</v>
      </c>
      <c r="U27" s="475">
        <f t="shared" si="22"/>
        <v>6.9999999999999751</v>
      </c>
      <c r="V27" s="484">
        <f t="shared" si="21"/>
        <v>75.000000000000057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-78.400000000001455</v>
      </c>
      <c r="AF27" s="474">
        <f t="shared" si="9"/>
        <v>0.96079999999999932</v>
      </c>
      <c r="AG27" s="615"/>
    </row>
    <row r="28" spans="1:33" ht="15.75" customHeight="1">
      <c r="A28" s="643" t="s">
        <v>2380</v>
      </c>
      <c r="B28" s="29" t="s">
        <v>6</v>
      </c>
      <c r="C28" s="618"/>
      <c r="D28" s="618"/>
      <c r="E28" s="476"/>
      <c r="F28" s="485"/>
      <c r="G28" s="475"/>
      <c r="H28" s="485"/>
      <c r="I28" s="23">
        <v>16.666666666666668</v>
      </c>
      <c r="J28" s="31">
        <v>2000</v>
      </c>
      <c r="K28" s="12">
        <f t="shared" si="1"/>
        <v>119.99999999999999</v>
      </c>
      <c r="L28" s="23">
        <v>16.666666666666668</v>
      </c>
      <c r="M28" s="13">
        <f>AVERAGE(M22:M27)</f>
        <v>1919.7144875681679</v>
      </c>
      <c r="N28" s="12">
        <f t="shared" si="3"/>
        <v>115.18286925409006</v>
      </c>
      <c r="O28" s="14">
        <f t="shared" si="4"/>
        <v>0</v>
      </c>
      <c r="P28" s="15">
        <f t="shared" si="5"/>
        <v>-4.8171307459099211</v>
      </c>
      <c r="Q28" s="474">
        <f t="shared" si="6"/>
        <v>0.95985724378408399</v>
      </c>
      <c r="R28" s="615"/>
      <c r="S28" s="34"/>
      <c r="T28" s="34"/>
      <c r="U28" s="12"/>
      <c r="V28" s="484"/>
      <c r="W28" s="12"/>
      <c r="X28" s="12"/>
      <c r="Y28" s="24">
        <f>SUM(Y22:Y27)</f>
        <v>0</v>
      </c>
      <c r="Z28" s="24">
        <f>SUM(Z22:Z27)</f>
        <v>0</v>
      </c>
      <c r="AA28" s="614"/>
      <c r="AB28" s="614"/>
      <c r="AC28" s="24">
        <v>6</v>
      </c>
      <c r="AD28" s="24">
        <f>SUM(AD22:AD27)</f>
        <v>0</v>
      </c>
      <c r="AE28" s="14">
        <f t="shared" si="8"/>
        <v>-80.285512431832103</v>
      </c>
      <c r="AF28" s="474">
        <f t="shared" si="9"/>
        <v>0.95985724378408399</v>
      </c>
      <c r="AG28" s="615"/>
    </row>
    <row r="29" spans="1:33" ht="15.75" customHeight="1">
      <c r="A29" s="641" t="s">
        <v>2382</v>
      </c>
      <c r="B29" s="29" t="s">
        <v>32</v>
      </c>
      <c r="C29" s="640" t="s">
        <v>33</v>
      </c>
      <c r="D29" s="640"/>
      <c r="E29" s="29">
        <v>31.29</v>
      </c>
      <c r="F29" s="485">
        <v>6471</v>
      </c>
      <c r="G29" s="475">
        <f t="shared" ref="G29:G33" si="23">E29*F29</f>
        <v>202477.59</v>
      </c>
      <c r="H29" s="33" t="s">
        <v>57</v>
      </c>
      <c r="I29" s="483">
        <v>18</v>
      </c>
      <c r="J29" s="31">
        <v>2400</v>
      </c>
      <c r="K29" s="12">
        <f t="shared" si="1"/>
        <v>133.33333333333334</v>
      </c>
      <c r="L29" s="483">
        <v>18</v>
      </c>
      <c r="M29" s="13">
        <f t="shared" ref="M29:M33" si="24">F29/V29*60</f>
        <v>2283.8823529411766</v>
      </c>
      <c r="N29" s="12">
        <f t="shared" si="3"/>
        <v>126.88235294117648</v>
      </c>
      <c r="O29" s="14">
        <f t="shared" si="4"/>
        <v>0</v>
      </c>
      <c r="P29" s="15">
        <f t="shared" si="5"/>
        <v>-6.4509803921568647</v>
      </c>
      <c r="Q29" s="474">
        <f t="shared" si="6"/>
        <v>0.95161764705882357</v>
      </c>
      <c r="R29" s="615">
        <f>Q34</f>
        <v>0.95493737404686574</v>
      </c>
      <c r="S29" s="34">
        <v>8.3333333333333329E-2</v>
      </c>
      <c r="T29" s="34">
        <v>0.2013888888888889</v>
      </c>
      <c r="U29" s="475"/>
      <c r="V29" s="484">
        <f t="shared" ref="V29:V33" si="25">(T29-S29)*24*60</f>
        <v>170</v>
      </c>
      <c r="W29" s="16">
        <f>T29</f>
        <v>0.2013888888888889</v>
      </c>
      <c r="X29" s="16">
        <f>S30</f>
        <v>0.22083333333333335</v>
      </c>
      <c r="Y29" s="16"/>
      <c r="Z29" s="16"/>
      <c r="AA29" s="617"/>
      <c r="AB29" s="617"/>
      <c r="AC29" s="35">
        <v>5</v>
      </c>
      <c r="AD29" s="18"/>
      <c r="AE29" s="14">
        <f t="shared" si="8"/>
        <v>-116.11764705882342</v>
      </c>
      <c r="AF29" s="474">
        <f t="shared" si="9"/>
        <v>0.95161764705882357</v>
      </c>
      <c r="AG29" s="615">
        <f>AF34</f>
        <v>0.95493737404686574</v>
      </c>
    </row>
    <row r="30" spans="1:33" ht="15.75" customHeight="1">
      <c r="A30" s="641" t="s">
        <v>2383</v>
      </c>
      <c r="B30" s="29" t="s">
        <v>32</v>
      </c>
      <c r="C30" s="640" t="s">
        <v>34</v>
      </c>
      <c r="D30" s="640"/>
      <c r="E30" s="29">
        <v>26.37</v>
      </c>
      <c r="F30" s="485">
        <v>4848</v>
      </c>
      <c r="G30" s="475">
        <f t="shared" si="23"/>
        <v>127841.76000000001</v>
      </c>
      <c r="H30" s="33" t="s">
        <v>57</v>
      </c>
      <c r="I30" s="483">
        <v>18</v>
      </c>
      <c r="J30" s="31">
        <v>2400</v>
      </c>
      <c r="K30" s="12">
        <f t="shared" si="1"/>
        <v>133.33333333333334</v>
      </c>
      <c r="L30" s="483">
        <v>18</v>
      </c>
      <c r="M30" s="13">
        <f t="shared" si="24"/>
        <v>2290.3937007874024</v>
      </c>
      <c r="N30" s="12">
        <f t="shared" si="3"/>
        <v>127.24409448818902</v>
      </c>
      <c r="O30" s="14">
        <f t="shared" si="4"/>
        <v>0</v>
      </c>
      <c r="P30" s="15">
        <f t="shared" si="5"/>
        <v>-6.0892388451443225</v>
      </c>
      <c r="Q30" s="474">
        <f t="shared" si="6"/>
        <v>0.95433070866141756</v>
      </c>
      <c r="R30" s="615"/>
      <c r="S30" s="34">
        <v>0.22083333333333335</v>
      </c>
      <c r="T30" s="34">
        <v>0.30902777777777779</v>
      </c>
      <c r="U30" s="475">
        <f t="shared" ref="U30:U33" si="26">(S30-T29)*24*60</f>
        <v>28.000000000000021</v>
      </c>
      <c r="V30" s="484">
        <f t="shared" si="25"/>
        <v>126.99999999999997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-109.60629921259761</v>
      </c>
      <c r="AF30" s="474">
        <f t="shared" si="9"/>
        <v>0.95433070866141767</v>
      </c>
      <c r="AG30" s="615"/>
    </row>
    <row r="31" spans="1:33" ht="15.75" customHeight="1">
      <c r="A31" s="641" t="s">
        <v>2382</v>
      </c>
      <c r="B31" s="29" t="s">
        <v>32</v>
      </c>
      <c r="C31" s="640" t="s">
        <v>76</v>
      </c>
      <c r="D31" s="640"/>
      <c r="E31" s="29">
        <v>26.18</v>
      </c>
      <c r="F31" s="485">
        <v>6001</v>
      </c>
      <c r="G31" s="475">
        <f t="shared" si="23"/>
        <v>157106.18</v>
      </c>
      <c r="H31" s="33" t="s">
        <v>57</v>
      </c>
      <c r="I31" s="483">
        <v>18</v>
      </c>
      <c r="J31" s="31">
        <v>2400</v>
      </c>
      <c r="K31" s="12">
        <f t="shared" si="1"/>
        <v>133.33333333333334</v>
      </c>
      <c r="L31" s="483">
        <v>18</v>
      </c>
      <c r="M31" s="13">
        <f t="shared" si="24"/>
        <v>2293.375796178344</v>
      </c>
      <c r="N31" s="12">
        <f t="shared" si="3"/>
        <v>127.40976645435245</v>
      </c>
      <c r="O31" s="14">
        <f t="shared" si="4"/>
        <v>0</v>
      </c>
      <c r="P31" s="15">
        <f t="shared" si="5"/>
        <v>-5.9235668789808926</v>
      </c>
      <c r="Q31" s="474">
        <f t="shared" si="6"/>
        <v>0.95557324840764335</v>
      </c>
      <c r="R31" s="615"/>
      <c r="S31" s="34">
        <v>0.31458333333333333</v>
      </c>
      <c r="T31" s="34">
        <v>0.4236111111111111</v>
      </c>
      <c r="U31" s="475">
        <f t="shared" si="26"/>
        <v>7.9999999999999716</v>
      </c>
      <c r="V31" s="484">
        <f t="shared" si="25"/>
        <v>157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-106.62420382165601</v>
      </c>
      <c r="AF31" s="474">
        <f t="shared" si="9"/>
        <v>0.95557324840764335</v>
      </c>
      <c r="AG31" s="615"/>
    </row>
    <row r="32" spans="1:33" ht="15.75" customHeight="1">
      <c r="A32" s="641" t="s">
        <v>2382</v>
      </c>
      <c r="B32" s="29" t="s">
        <v>32</v>
      </c>
      <c r="C32" s="640" t="s">
        <v>79</v>
      </c>
      <c r="D32" s="640"/>
      <c r="E32" s="29">
        <v>25.99</v>
      </c>
      <c r="F32" s="485">
        <v>1301</v>
      </c>
      <c r="G32" s="475">
        <f t="shared" si="23"/>
        <v>33812.99</v>
      </c>
      <c r="H32" s="33" t="s">
        <v>57</v>
      </c>
      <c r="I32" s="483">
        <v>18</v>
      </c>
      <c r="J32" s="31">
        <v>2400</v>
      </c>
      <c r="K32" s="12">
        <f t="shared" si="1"/>
        <v>133.33333333333334</v>
      </c>
      <c r="L32" s="483">
        <v>18</v>
      </c>
      <c r="M32" s="13">
        <f t="shared" si="24"/>
        <v>2295.8823529411793</v>
      </c>
      <c r="N32" s="12">
        <f t="shared" si="3"/>
        <v>127.54901960784329</v>
      </c>
      <c r="O32" s="14">
        <f t="shared" si="4"/>
        <v>0</v>
      </c>
      <c r="P32" s="15">
        <f t="shared" si="5"/>
        <v>-5.7843137254900512</v>
      </c>
      <c r="Q32" s="474">
        <f t="shared" si="6"/>
        <v>0.95661764705882457</v>
      </c>
      <c r="R32" s="615"/>
      <c r="S32" s="34">
        <v>0.42708333333333331</v>
      </c>
      <c r="T32" s="34">
        <v>0.4506944444444444</v>
      </c>
      <c r="U32" s="475">
        <f t="shared" si="26"/>
        <v>4.9999999999999822</v>
      </c>
      <c r="V32" s="484">
        <f t="shared" si="25"/>
        <v>33.999999999999957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-104.11764705882069</v>
      </c>
      <c r="AF32" s="474">
        <f t="shared" si="9"/>
        <v>0.95661764705882468</v>
      </c>
      <c r="AG32" s="615"/>
    </row>
    <row r="33" spans="1:33" ht="15.75" customHeight="1">
      <c r="A33" s="641" t="s">
        <v>2384</v>
      </c>
      <c r="B33" s="29" t="s">
        <v>32</v>
      </c>
      <c r="C33" s="640" t="s">
        <v>35</v>
      </c>
      <c r="D33" s="640"/>
      <c r="E33" s="29">
        <v>25.99</v>
      </c>
      <c r="F33" s="485">
        <v>3214</v>
      </c>
      <c r="G33" s="475">
        <f t="shared" si="23"/>
        <v>83531.86</v>
      </c>
      <c r="H33" s="33" t="s">
        <v>57</v>
      </c>
      <c r="I33" s="483">
        <v>14</v>
      </c>
      <c r="J33" s="31">
        <v>2400</v>
      </c>
      <c r="K33" s="12">
        <f t="shared" si="1"/>
        <v>171.42857142857142</v>
      </c>
      <c r="L33" s="483">
        <v>14</v>
      </c>
      <c r="M33" s="13">
        <f t="shared" si="24"/>
        <v>2295.7142857142853</v>
      </c>
      <c r="N33" s="12">
        <f t="shared" si="3"/>
        <v>163.97959183673467</v>
      </c>
      <c r="O33" s="14">
        <f t="shared" si="4"/>
        <v>0</v>
      </c>
      <c r="P33" s="15">
        <f t="shared" si="5"/>
        <v>-7.4489795918367463</v>
      </c>
      <c r="Q33" s="474">
        <f t="shared" si="6"/>
        <v>0.95654761904761898</v>
      </c>
      <c r="R33" s="615"/>
      <c r="S33" s="34">
        <v>0.45486111111111105</v>
      </c>
      <c r="T33" s="34">
        <v>0.5131944444444444</v>
      </c>
      <c r="U33" s="475">
        <f t="shared" si="26"/>
        <v>5.9999999999999787</v>
      </c>
      <c r="V33" s="484">
        <f t="shared" si="25"/>
        <v>84.000000000000028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-104.28571428571468</v>
      </c>
      <c r="AF33" s="474">
        <f t="shared" si="9"/>
        <v>0.95654761904761887</v>
      </c>
      <c r="AG33" s="615"/>
    </row>
    <row r="34" spans="1:33" ht="15.75" customHeight="1">
      <c r="A34" s="641" t="s">
        <v>2382</v>
      </c>
      <c r="B34" s="29" t="s">
        <v>2375</v>
      </c>
      <c r="C34" s="618"/>
      <c r="D34" s="618"/>
      <c r="E34" s="476"/>
      <c r="F34" s="485"/>
      <c r="G34" s="475"/>
      <c r="H34" s="485"/>
      <c r="I34" s="23">
        <v>17.2</v>
      </c>
      <c r="J34" s="31">
        <v>2400</v>
      </c>
      <c r="K34" s="12">
        <f t="shared" si="1"/>
        <v>139.53488372093022</v>
      </c>
      <c r="L34" s="23">
        <v>17.2</v>
      </c>
      <c r="M34" s="13">
        <f>AVERAGE(M29:M33)</f>
        <v>2291.8496977124778</v>
      </c>
      <c r="N34" s="12">
        <f t="shared" si="3"/>
        <v>133.24707544839987</v>
      </c>
      <c r="O34" s="14">
        <f t="shared" si="4"/>
        <v>0</v>
      </c>
      <c r="P34" s="15">
        <f t="shared" si="5"/>
        <v>-6.2878082725303557</v>
      </c>
      <c r="Q34" s="474">
        <f t="shared" si="6"/>
        <v>0.95493737404686574</v>
      </c>
      <c r="R34" s="615"/>
      <c r="S34" s="34"/>
      <c r="T34" s="34"/>
      <c r="U34" s="475"/>
      <c r="V34" s="484"/>
      <c r="W34" s="475"/>
      <c r="X34" s="475"/>
      <c r="Y34" s="24">
        <f>SUM(Y29:Y33)</f>
        <v>0</v>
      </c>
      <c r="Z34" s="24">
        <f>SUM(Z29:Z33)</f>
        <v>0</v>
      </c>
      <c r="AA34" s="614"/>
      <c r="AB34" s="614"/>
      <c r="AC34" s="24">
        <v>5</v>
      </c>
      <c r="AD34" s="24">
        <f>SUM(AD29:AD33)</f>
        <v>0</v>
      </c>
      <c r="AE34" s="14">
        <f t="shared" si="8"/>
        <v>-108.15030228752221</v>
      </c>
      <c r="AF34" s="474">
        <f t="shared" si="9"/>
        <v>0.95493737404686574</v>
      </c>
      <c r="AG34" s="615"/>
    </row>
    <row r="35" spans="1:33" ht="15.75" customHeight="1">
      <c r="A35" s="638" t="s">
        <v>2385</v>
      </c>
      <c r="B35" s="29" t="s">
        <v>32</v>
      </c>
      <c r="C35" s="616" t="s">
        <v>77</v>
      </c>
      <c r="D35" s="616"/>
      <c r="E35" s="29">
        <v>26.18</v>
      </c>
      <c r="F35" s="485">
        <v>4742</v>
      </c>
      <c r="G35" s="475">
        <f t="shared" ref="G35:G40" si="27">E35*F35</f>
        <v>124145.56</v>
      </c>
      <c r="H35" s="33" t="s">
        <v>57</v>
      </c>
      <c r="I35" s="483">
        <v>20</v>
      </c>
      <c r="J35" s="31">
        <v>2400</v>
      </c>
      <c r="K35" s="12">
        <f t="shared" si="1"/>
        <v>120</v>
      </c>
      <c r="L35" s="483">
        <v>20</v>
      </c>
      <c r="M35" s="13">
        <f t="shared" ref="M35:M40" si="28">F35/V35*60</f>
        <v>2294.5161290322576</v>
      </c>
      <c r="N35" s="12">
        <f t="shared" si="3"/>
        <v>114.72580645161288</v>
      </c>
      <c r="O35" s="14">
        <f t="shared" si="4"/>
        <v>0</v>
      </c>
      <c r="P35" s="15">
        <f t="shared" si="5"/>
        <v>-5.2741935483871174</v>
      </c>
      <c r="Q35" s="474">
        <f t="shared" si="6"/>
        <v>0.95604838709677398</v>
      </c>
      <c r="R35" s="615">
        <f>Q41</f>
        <v>0.95565388859659672</v>
      </c>
      <c r="S35" s="34">
        <v>8.3333333333333329E-2</v>
      </c>
      <c r="T35" s="34">
        <v>0.16944444444444445</v>
      </c>
      <c r="U35" s="475"/>
      <c r="V35" s="484">
        <f t="shared" ref="V35:V40" si="29">(T35-S35)*24*60</f>
        <v>124.00000000000001</v>
      </c>
      <c r="W35" s="21">
        <f>T35</f>
        <v>0.16944444444444445</v>
      </c>
      <c r="X35" s="21">
        <f>S36</f>
        <v>0.1875</v>
      </c>
      <c r="Y35" s="21"/>
      <c r="Z35" s="21"/>
      <c r="AA35" s="617"/>
      <c r="AB35" s="617"/>
      <c r="AC35" s="35">
        <v>6</v>
      </c>
      <c r="AD35" s="18"/>
      <c r="AE35" s="14">
        <f t="shared" si="8"/>
        <v>-105.4838709677424</v>
      </c>
      <c r="AF35" s="474">
        <f t="shared" si="9"/>
        <v>0.95604838709677398</v>
      </c>
      <c r="AG35" s="615">
        <f>AF41</f>
        <v>0.95565388859659672</v>
      </c>
    </row>
    <row r="36" spans="1:33" ht="15.75" customHeight="1">
      <c r="A36" s="638" t="s">
        <v>2386</v>
      </c>
      <c r="B36" s="29" t="s">
        <v>32</v>
      </c>
      <c r="C36" s="616" t="s">
        <v>37</v>
      </c>
      <c r="D36" s="616"/>
      <c r="E36" s="29">
        <v>24.43</v>
      </c>
      <c r="F36" s="485">
        <v>5259</v>
      </c>
      <c r="G36" s="475">
        <f t="shared" si="27"/>
        <v>128477.37</v>
      </c>
      <c r="H36" s="33" t="s">
        <v>57</v>
      </c>
      <c r="I36" s="483">
        <v>14</v>
      </c>
      <c r="J36" s="31">
        <v>2400</v>
      </c>
      <c r="K36" s="12">
        <f t="shared" si="1"/>
        <v>171.42857142857142</v>
      </c>
      <c r="L36" s="483">
        <v>14</v>
      </c>
      <c r="M36" s="13">
        <f t="shared" si="28"/>
        <v>2286.521739130435</v>
      </c>
      <c r="N36" s="12">
        <f t="shared" si="3"/>
        <v>163.32298136645963</v>
      </c>
      <c r="O36" s="14">
        <f t="shared" si="4"/>
        <v>0</v>
      </c>
      <c r="P36" s="15">
        <f t="shared" si="5"/>
        <v>-8.1055900621117871</v>
      </c>
      <c r="Q36" s="474">
        <f t="shared" si="6"/>
        <v>0.95271739130434796</v>
      </c>
      <c r="R36" s="615"/>
      <c r="S36" s="34">
        <v>0.1875</v>
      </c>
      <c r="T36" s="34">
        <v>0.28333333333333333</v>
      </c>
      <c r="U36" s="475">
        <f t="shared" ref="U36:U40" si="30">(S36-T35)*24*60</f>
        <v>25.999999999999986</v>
      </c>
      <c r="V36" s="484">
        <f t="shared" si="29"/>
        <v>138</v>
      </c>
      <c r="W36" s="475"/>
      <c r="X36" s="475"/>
      <c r="Y36" s="475"/>
      <c r="Z36" s="475"/>
      <c r="AA36" s="617"/>
      <c r="AB36" s="617"/>
      <c r="AC36" s="35"/>
      <c r="AD36" s="18"/>
      <c r="AE36" s="14">
        <f t="shared" si="8"/>
        <v>-113.47826086956502</v>
      </c>
      <c r="AF36" s="474">
        <f t="shared" si="9"/>
        <v>0.95271739130434796</v>
      </c>
      <c r="AG36" s="615"/>
    </row>
    <row r="37" spans="1:33">
      <c r="A37" s="639" t="s">
        <v>2385</v>
      </c>
      <c r="B37" s="29" t="s">
        <v>32</v>
      </c>
      <c r="C37" s="616" t="s">
        <v>2090</v>
      </c>
      <c r="D37" s="616"/>
      <c r="E37" s="29">
        <v>25.98</v>
      </c>
      <c r="F37" s="485">
        <v>5421</v>
      </c>
      <c r="G37" s="475">
        <f t="shared" si="27"/>
        <v>140837.58000000002</v>
      </c>
      <c r="H37" s="33" t="s">
        <v>57</v>
      </c>
      <c r="I37" s="483">
        <v>20</v>
      </c>
      <c r="J37" s="31">
        <v>2400</v>
      </c>
      <c r="K37" s="12">
        <f t="shared" si="1"/>
        <v>120</v>
      </c>
      <c r="L37" s="483">
        <v>20</v>
      </c>
      <c r="M37" s="13">
        <f t="shared" si="28"/>
        <v>2290.5633802816906</v>
      </c>
      <c r="N37" s="12">
        <f t="shared" si="3"/>
        <v>114.52816901408453</v>
      </c>
      <c r="O37" s="14">
        <f t="shared" si="4"/>
        <v>0</v>
      </c>
      <c r="P37" s="15">
        <f t="shared" si="5"/>
        <v>-5.4718309859154743</v>
      </c>
      <c r="Q37" s="474">
        <f t="shared" si="6"/>
        <v>0.95440140845070442</v>
      </c>
      <c r="R37" s="615"/>
      <c r="S37" s="34">
        <v>0.28888888888888886</v>
      </c>
      <c r="T37" s="34">
        <v>0.38749999999999996</v>
      </c>
      <c r="U37" s="475">
        <f t="shared" si="30"/>
        <v>7.9999999999999716</v>
      </c>
      <c r="V37" s="484">
        <f t="shared" si="29"/>
        <v>141.99999999999997</v>
      </c>
      <c r="W37" s="475"/>
      <c r="X37" s="475"/>
      <c r="Y37" s="475"/>
      <c r="Z37" s="475"/>
      <c r="AA37" s="617"/>
      <c r="AB37" s="617"/>
      <c r="AC37" s="35"/>
      <c r="AD37" s="18"/>
      <c r="AE37" s="14">
        <f t="shared" si="8"/>
        <v>-109.43661971830943</v>
      </c>
      <c r="AF37" s="474">
        <f t="shared" si="9"/>
        <v>0.95440140845070442</v>
      </c>
      <c r="AG37" s="615"/>
    </row>
    <row r="38" spans="1:33">
      <c r="A38" s="639" t="s">
        <v>2385</v>
      </c>
      <c r="B38" s="29" t="s">
        <v>32</v>
      </c>
      <c r="C38" s="616" t="s">
        <v>39</v>
      </c>
      <c r="D38" s="616"/>
      <c r="E38" s="29">
        <v>34.1</v>
      </c>
      <c r="F38" s="485">
        <v>2800</v>
      </c>
      <c r="G38" s="475">
        <f t="shared" si="27"/>
        <v>95480</v>
      </c>
      <c r="H38" s="33">
        <v>2</v>
      </c>
      <c r="I38" s="483">
        <v>17</v>
      </c>
      <c r="J38" s="31">
        <v>1600</v>
      </c>
      <c r="K38" s="12">
        <f t="shared" si="1"/>
        <v>94.117647058823536</v>
      </c>
      <c r="L38" s="483">
        <v>17</v>
      </c>
      <c r="M38" s="13">
        <f t="shared" si="28"/>
        <v>1527.272727272727</v>
      </c>
      <c r="N38" s="12">
        <f t="shared" si="3"/>
        <v>89.839572192513359</v>
      </c>
      <c r="O38" s="14">
        <f t="shared" si="4"/>
        <v>0</v>
      </c>
      <c r="P38" s="15">
        <f t="shared" si="5"/>
        <v>-4.2780748663101775</v>
      </c>
      <c r="Q38" s="474">
        <f t="shared" si="6"/>
        <v>0.95454545454545436</v>
      </c>
      <c r="R38" s="615"/>
      <c r="S38" s="34">
        <v>0.39097222222222217</v>
      </c>
      <c r="T38" s="34">
        <v>0.46736111111111106</v>
      </c>
      <c r="U38" s="475">
        <f t="shared" si="30"/>
        <v>4.9999999999999822</v>
      </c>
      <c r="V38" s="484">
        <f t="shared" si="29"/>
        <v>110.00000000000001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-72.727272727272975</v>
      </c>
      <c r="AF38" s="474">
        <f t="shared" si="9"/>
        <v>0.95454545454545436</v>
      </c>
      <c r="AG38" s="615"/>
    </row>
    <row r="39" spans="1:33">
      <c r="A39" s="639" t="s">
        <v>2385</v>
      </c>
      <c r="B39" s="29" t="s">
        <v>32</v>
      </c>
      <c r="C39" s="616" t="s">
        <v>84</v>
      </c>
      <c r="D39" s="616"/>
      <c r="E39" s="29">
        <v>20.21</v>
      </c>
      <c r="F39" s="485">
        <v>2687</v>
      </c>
      <c r="G39" s="475">
        <f t="shared" si="27"/>
        <v>54304.270000000004</v>
      </c>
      <c r="H39" s="33" t="s">
        <v>57</v>
      </c>
      <c r="I39" s="483">
        <v>18</v>
      </c>
      <c r="J39" s="31">
        <v>2400</v>
      </c>
      <c r="K39" s="12">
        <f t="shared" si="1"/>
        <v>133.33333333333334</v>
      </c>
      <c r="L39" s="483">
        <v>18</v>
      </c>
      <c r="M39" s="13">
        <f t="shared" si="28"/>
        <v>2303.1428571428578</v>
      </c>
      <c r="N39" s="12">
        <f t="shared" si="3"/>
        <v>127.95238095238099</v>
      </c>
      <c r="O39" s="14">
        <f t="shared" si="4"/>
        <v>0</v>
      </c>
      <c r="P39" s="15">
        <f t="shared" si="5"/>
        <v>-5.3809523809523512</v>
      </c>
      <c r="Q39" s="474">
        <f t="shared" si="6"/>
        <v>0.95964285714285735</v>
      </c>
      <c r="R39" s="615"/>
      <c r="S39" s="34">
        <v>0.47152777777777771</v>
      </c>
      <c r="T39" s="34">
        <v>0.52013888888888882</v>
      </c>
      <c r="U39" s="475">
        <f t="shared" si="30"/>
        <v>5.9999999999999787</v>
      </c>
      <c r="V39" s="484">
        <f t="shared" si="29"/>
        <v>69.999999999999986</v>
      </c>
      <c r="W39" s="16">
        <f>T39</f>
        <v>0.52013888888888882</v>
      </c>
      <c r="X39" s="16">
        <f>S40</f>
        <v>0.55972222222222212</v>
      </c>
      <c r="Y39" s="16"/>
      <c r="Z39" s="16"/>
      <c r="AA39" s="617"/>
      <c r="AB39" s="617"/>
      <c r="AC39" s="35"/>
      <c r="AD39" s="18"/>
      <c r="AE39" s="14">
        <f t="shared" si="8"/>
        <v>-96.857142857142208</v>
      </c>
      <c r="AF39" s="474">
        <f t="shared" si="9"/>
        <v>0.95964285714285746</v>
      </c>
      <c r="AG39" s="615"/>
    </row>
    <row r="40" spans="1:33">
      <c r="A40" s="639" t="s">
        <v>2386</v>
      </c>
      <c r="B40" s="29" t="s">
        <v>32</v>
      </c>
      <c r="C40" s="616" t="s">
        <v>39</v>
      </c>
      <c r="D40" s="616"/>
      <c r="E40" s="29">
        <v>34.1</v>
      </c>
      <c r="F40" s="485">
        <v>2168</v>
      </c>
      <c r="G40" s="475">
        <f t="shared" si="27"/>
        <v>73928.800000000003</v>
      </c>
      <c r="H40" s="33" t="s">
        <v>57</v>
      </c>
      <c r="I40" s="483">
        <v>17</v>
      </c>
      <c r="J40" s="31">
        <v>1600</v>
      </c>
      <c r="K40" s="12">
        <f t="shared" si="1"/>
        <v>94.117647058823536</v>
      </c>
      <c r="L40" s="483">
        <v>17</v>
      </c>
      <c r="M40" s="13">
        <f t="shared" si="28"/>
        <v>1530.3529411764703</v>
      </c>
      <c r="N40" s="12">
        <f t="shared" si="3"/>
        <v>90.02076124567472</v>
      </c>
      <c r="O40" s="14">
        <f t="shared" si="4"/>
        <v>0</v>
      </c>
      <c r="P40" s="15">
        <f t="shared" si="5"/>
        <v>-4.0968858131488162</v>
      </c>
      <c r="Q40" s="474">
        <f t="shared" si="6"/>
        <v>0.95647058823529385</v>
      </c>
      <c r="R40" s="615"/>
      <c r="S40" s="34">
        <v>0.55972222222222212</v>
      </c>
      <c r="T40" s="34">
        <v>0.61874999999999991</v>
      </c>
      <c r="U40" s="475">
        <f t="shared" si="30"/>
        <v>56.999999999999957</v>
      </c>
      <c r="V40" s="484">
        <f t="shared" si="29"/>
        <v>85.000000000000014</v>
      </c>
      <c r="W40" s="16"/>
      <c r="X40" s="16"/>
      <c r="Y40" s="16"/>
      <c r="Z40" s="16"/>
      <c r="AA40" s="617"/>
      <c r="AB40" s="617"/>
      <c r="AC40" s="35"/>
      <c r="AD40" s="18"/>
      <c r="AE40" s="14">
        <f t="shared" si="8"/>
        <v>-69.647058823529733</v>
      </c>
      <c r="AF40" s="474">
        <f t="shared" si="9"/>
        <v>0.95647058823529396</v>
      </c>
      <c r="AG40" s="615"/>
    </row>
    <row r="41" spans="1:33">
      <c r="A41" s="639" t="s">
        <v>2387</v>
      </c>
      <c r="B41" s="30" t="s">
        <v>2388</v>
      </c>
      <c r="C41" s="618"/>
      <c r="D41" s="618"/>
      <c r="E41" s="476"/>
      <c r="F41" s="30"/>
      <c r="G41" s="12"/>
      <c r="H41" s="485"/>
      <c r="I41" s="23">
        <v>17.666666666666668</v>
      </c>
      <c r="J41" s="31">
        <v>2133.3333333333335</v>
      </c>
      <c r="K41" s="12">
        <f t="shared" si="1"/>
        <v>120.75471698113208</v>
      </c>
      <c r="L41" s="23">
        <v>17.666666666666668</v>
      </c>
      <c r="M41" s="13">
        <f>AVERAGE(M35:M40)</f>
        <v>2038.7282956727397</v>
      </c>
      <c r="N41" s="12">
        <f t="shared" si="3"/>
        <v>115.39971484940035</v>
      </c>
      <c r="O41" s="14">
        <f t="shared" si="4"/>
        <v>0</v>
      </c>
      <c r="P41" s="15">
        <f t="shared" si="5"/>
        <v>-5.3550021317317231</v>
      </c>
      <c r="Q41" s="474">
        <f t="shared" si="6"/>
        <v>0.95565388859659672</v>
      </c>
      <c r="R41" s="615"/>
      <c r="S41" s="34"/>
      <c r="T41" s="34"/>
      <c r="U41" s="12"/>
      <c r="V41" s="484"/>
      <c r="W41" s="12"/>
      <c r="X41" s="12"/>
      <c r="Y41" s="24">
        <f>SUM(Y35:Y40)</f>
        <v>0</v>
      </c>
      <c r="Z41" s="24">
        <f>SUM(Z35:Z40)</f>
        <v>0</v>
      </c>
      <c r="AA41" s="614"/>
      <c r="AB41" s="614"/>
      <c r="AC41" s="24">
        <v>6</v>
      </c>
      <c r="AD41" s="24">
        <f>SUM(AD35:AD40)</f>
        <v>0</v>
      </c>
      <c r="AE41" s="14">
        <f t="shared" si="8"/>
        <v>-94.60503766059378</v>
      </c>
      <c r="AF41" s="474">
        <f t="shared" si="9"/>
        <v>0.95565388859659672</v>
      </c>
      <c r="AG41" s="615"/>
    </row>
    <row r="42" spans="1:33" ht="15.75" customHeight="1">
      <c r="A42" s="632" t="s">
        <v>12</v>
      </c>
      <c r="B42" s="29" t="s">
        <v>40</v>
      </c>
      <c r="C42" s="622" t="s">
        <v>42</v>
      </c>
      <c r="D42" s="623"/>
      <c r="E42" s="29">
        <v>35.119999999999997</v>
      </c>
      <c r="F42" s="485">
        <v>4662</v>
      </c>
      <c r="G42" s="475">
        <f t="shared" ref="G42:G44" si="31">E42*F42</f>
        <v>163729.44</v>
      </c>
      <c r="H42" s="33" t="s">
        <v>57</v>
      </c>
      <c r="I42" s="483">
        <v>10</v>
      </c>
      <c r="J42" s="31">
        <v>3000</v>
      </c>
      <c r="K42" s="12">
        <f t="shared" si="1"/>
        <v>300</v>
      </c>
      <c r="L42" s="483">
        <v>10</v>
      </c>
      <c r="M42" s="13">
        <f t="shared" ref="M42:M44" si="32">F42/V42*60</f>
        <v>2854.2857142857138</v>
      </c>
      <c r="N42" s="13">
        <f t="shared" si="3"/>
        <v>285.42857142857139</v>
      </c>
      <c r="O42" s="14">
        <f t="shared" si="4"/>
        <v>0</v>
      </c>
      <c r="P42" s="15">
        <f t="shared" si="5"/>
        <v>-14.571428571428612</v>
      </c>
      <c r="Q42" s="474">
        <f t="shared" si="6"/>
        <v>0.95142857142857129</v>
      </c>
      <c r="R42" s="635">
        <f>Q45</f>
        <v>0.95377629921123908</v>
      </c>
      <c r="S42" s="34">
        <v>0.20833333333333334</v>
      </c>
      <c r="T42" s="34">
        <v>0.27638888888888891</v>
      </c>
      <c r="U42" s="21"/>
      <c r="V42" s="484">
        <f t="shared" ref="V42:V44" si="33">(T42-S42)*24*60</f>
        <v>98.000000000000014</v>
      </c>
      <c r="W42" s="16"/>
      <c r="X42" s="16"/>
      <c r="Y42" s="19"/>
      <c r="Z42" s="19"/>
      <c r="AA42" s="624"/>
      <c r="AB42" s="625"/>
      <c r="AC42" s="35">
        <v>3</v>
      </c>
      <c r="AD42" s="18"/>
      <c r="AE42" s="14">
        <f t="shared" si="8"/>
        <v>-145.71428571428623</v>
      </c>
      <c r="AF42" s="474">
        <f t="shared" si="9"/>
        <v>0.95142857142857129</v>
      </c>
      <c r="AG42" s="635">
        <f>AF45</f>
        <v>0.95377629921123919</v>
      </c>
    </row>
    <row r="43" spans="1:33" ht="15.75" customHeight="1">
      <c r="A43" s="633" t="s">
        <v>2389</v>
      </c>
      <c r="B43" s="29" t="s">
        <v>40</v>
      </c>
      <c r="C43" s="622" t="s">
        <v>43</v>
      </c>
      <c r="D43" s="623"/>
      <c r="E43" s="29">
        <v>21.13</v>
      </c>
      <c r="F43" s="485">
        <v>4245</v>
      </c>
      <c r="G43" s="475">
        <f t="shared" si="31"/>
        <v>89696.849999999991</v>
      </c>
      <c r="H43" s="33" t="s">
        <v>57</v>
      </c>
      <c r="I43" s="483">
        <v>10</v>
      </c>
      <c r="J43" s="31">
        <v>3000</v>
      </c>
      <c r="K43" s="12">
        <f t="shared" si="1"/>
        <v>300</v>
      </c>
      <c r="L43" s="483">
        <v>10</v>
      </c>
      <c r="M43" s="13">
        <f t="shared" si="32"/>
        <v>2861.7977528089891</v>
      </c>
      <c r="N43" s="13">
        <f t="shared" si="3"/>
        <v>286.17977528089892</v>
      </c>
      <c r="O43" s="14">
        <f t="shared" si="4"/>
        <v>0</v>
      </c>
      <c r="P43" s="15">
        <f t="shared" si="5"/>
        <v>-13.820224719101077</v>
      </c>
      <c r="Q43" s="474">
        <f t="shared" si="6"/>
        <v>0.9539325842696631</v>
      </c>
      <c r="R43" s="636"/>
      <c r="S43" s="34">
        <v>0.27986111111111112</v>
      </c>
      <c r="T43" s="34">
        <v>0.34166666666666667</v>
      </c>
      <c r="U43" s="475">
        <f t="shared" ref="U43:U44" si="34">(S43-T42)*24*60</f>
        <v>4.9999999999999822</v>
      </c>
      <c r="V43" s="484">
        <f t="shared" si="33"/>
        <v>89</v>
      </c>
      <c r="W43" s="16"/>
      <c r="X43" s="16"/>
      <c r="Y43" s="19"/>
      <c r="Z43" s="19"/>
      <c r="AA43" s="624"/>
      <c r="AB43" s="625"/>
      <c r="AC43" s="35"/>
      <c r="AD43" s="18"/>
      <c r="AE43" s="14">
        <f t="shared" si="8"/>
        <v>-138.20224719101088</v>
      </c>
      <c r="AF43" s="474">
        <f t="shared" si="9"/>
        <v>0.95393258426966299</v>
      </c>
      <c r="AG43" s="636"/>
    </row>
    <row r="44" spans="1:33" ht="15.75" customHeight="1">
      <c r="A44" s="633" t="s">
        <v>12</v>
      </c>
      <c r="B44" s="29" t="s">
        <v>40</v>
      </c>
      <c r="C44" s="622" t="s">
        <v>44</v>
      </c>
      <c r="D44" s="623"/>
      <c r="E44" s="29">
        <v>27.17</v>
      </c>
      <c r="F44" s="485">
        <v>5927</v>
      </c>
      <c r="G44" s="475">
        <f t="shared" si="31"/>
        <v>161036.59</v>
      </c>
      <c r="H44" s="33" t="s">
        <v>57</v>
      </c>
      <c r="I44" s="483">
        <v>10</v>
      </c>
      <c r="J44" s="31">
        <v>3000</v>
      </c>
      <c r="K44" s="12">
        <f t="shared" si="1"/>
        <v>300</v>
      </c>
      <c r="L44" s="483">
        <v>10</v>
      </c>
      <c r="M44" s="13">
        <f t="shared" si="32"/>
        <v>2867.9032258064508</v>
      </c>
      <c r="N44" s="13">
        <f t="shared" si="3"/>
        <v>286.79032258064507</v>
      </c>
      <c r="O44" s="14">
        <f t="shared" si="4"/>
        <v>0</v>
      </c>
      <c r="P44" s="15">
        <f t="shared" si="5"/>
        <v>-13.209677419354932</v>
      </c>
      <c r="Q44" s="474">
        <f t="shared" si="6"/>
        <v>0.95596774193548351</v>
      </c>
      <c r="R44" s="636"/>
      <c r="S44" s="34">
        <v>0.34513888888888888</v>
      </c>
      <c r="T44" s="34">
        <v>0.43125000000000002</v>
      </c>
      <c r="U44" s="475">
        <f t="shared" si="34"/>
        <v>4.9999999999999822</v>
      </c>
      <c r="V44" s="484">
        <f t="shared" si="33"/>
        <v>124.00000000000004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-132.09677419354921</v>
      </c>
      <c r="AF44" s="474">
        <f t="shared" si="9"/>
        <v>0.95596774193548362</v>
      </c>
      <c r="AG44" s="636"/>
    </row>
    <row r="45" spans="1:33" ht="15.75" customHeight="1">
      <c r="A45" s="634" t="s">
        <v>2390</v>
      </c>
      <c r="B45" s="29" t="s">
        <v>2391</v>
      </c>
      <c r="C45" s="612"/>
      <c r="D45" s="613"/>
      <c r="E45" s="478"/>
      <c r="F45" s="485"/>
      <c r="G45" s="475"/>
      <c r="H45" s="485"/>
      <c r="I45" s="23">
        <v>10</v>
      </c>
      <c r="J45" s="31">
        <v>3000</v>
      </c>
      <c r="K45" s="12">
        <f t="shared" si="1"/>
        <v>300</v>
      </c>
      <c r="L45" s="23">
        <v>10</v>
      </c>
      <c r="M45" s="13">
        <f>AVERAGE(M42:M44)</f>
        <v>2861.3288976337176</v>
      </c>
      <c r="N45" s="12">
        <f t="shared" si="3"/>
        <v>286.13288976337174</v>
      </c>
      <c r="O45" s="14">
        <f t="shared" si="4"/>
        <v>0</v>
      </c>
      <c r="P45" s="15">
        <f t="shared" si="5"/>
        <v>-13.867110236628264</v>
      </c>
      <c r="Q45" s="474">
        <f t="shared" si="6"/>
        <v>0.95377629921123908</v>
      </c>
      <c r="R45" s="637"/>
      <c r="S45" s="34"/>
      <c r="T45" s="34"/>
      <c r="U45" s="475"/>
      <c r="V45" s="484"/>
      <c r="W45" s="16"/>
      <c r="X45" s="16"/>
      <c r="Y45" s="24">
        <f>SUM(Y42:Y44)</f>
        <v>0</v>
      </c>
      <c r="Z45" s="24">
        <f>SUM(Z42:Z44)</f>
        <v>0</v>
      </c>
      <c r="AA45" s="628"/>
      <c r="AB45" s="629"/>
      <c r="AC45" s="24">
        <v>3</v>
      </c>
      <c r="AD45" s="24">
        <f>SUM(AD42:AD44)</f>
        <v>0</v>
      </c>
      <c r="AE45" s="14">
        <f t="shared" si="8"/>
        <v>-138.67110236628241</v>
      </c>
      <c r="AF45" s="474">
        <f t="shared" si="9"/>
        <v>0.95377629921123919</v>
      </c>
      <c r="AG45" s="637"/>
    </row>
    <row r="46" spans="1:33" ht="15.75" customHeight="1">
      <c r="A46" s="630" t="s">
        <v>13</v>
      </c>
      <c r="B46" s="29" t="s">
        <v>15</v>
      </c>
      <c r="C46" s="616" t="s">
        <v>46</v>
      </c>
      <c r="D46" s="616"/>
      <c r="E46" s="29">
        <v>56.43</v>
      </c>
      <c r="F46" s="32">
        <v>1105</v>
      </c>
      <c r="G46" s="475">
        <f t="shared" ref="G46:G52" si="35">E46*F46</f>
        <v>62355.15</v>
      </c>
      <c r="H46" s="33" t="s">
        <v>57</v>
      </c>
      <c r="I46" s="483">
        <v>22</v>
      </c>
      <c r="J46" s="31">
        <v>2000</v>
      </c>
      <c r="K46" s="12">
        <f t="shared" si="1"/>
        <v>90.909090909090907</v>
      </c>
      <c r="L46" s="483">
        <v>22</v>
      </c>
      <c r="M46" s="13">
        <f t="shared" ref="M46" si="36">F46/V46*60</f>
        <v>1950</v>
      </c>
      <c r="N46" s="13">
        <f t="shared" si="3"/>
        <v>88.63636363636364</v>
      </c>
      <c r="O46" s="14">
        <f t="shared" si="4"/>
        <v>0</v>
      </c>
      <c r="P46" s="15">
        <f t="shared" si="5"/>
        <v>-2.2727272727272663</v>
      </c>
      <c r="Q46" s="474">
        <f t="shared" si="6"/>
        <v>0.97500000000000009</v>
      </c>
      <c r="R46" s="615">
        <f>Q53</f>
        <v>0.96168722988573796</v>
      </c>
      <c r="S46" s="34">
        <v>0.16666666666666666</v>
      </c>
      <c r="T46" s="34">
        <v>0.19027777777777777</v>
      </c>
      <c r="U46" s="21"/>
      <c r="V46" s="484">
        <f t="shared" ref="V46:V52" si="37">(T46-S46)*24*60</f>
        <v>34</v>
      </c>
      <c r="W46" s="16">
        <f>T46</f>
        <v>0.19027777777777777</v>
      </c>
      <c r="X46" s="16">
        <f>S47</f>
        <v>0.20972222222222223</v>
      </c>
      <c r="Y46" s="21"/>
      <c r="Z46" s="21"/>
      <c r="AA46" s="617"/>
      <c r="AB46" s="617"/>
      <c r="AC46" s="35">
        <v>7</v>
      </c>
      <c r="AD46" s="18"/>
      <c r="AE46" s="14">
        <f t="shared" si="8"/>
        <v>-50</v>
      </c>
      <c r="AF46" s="474">
        <f t="shared" si="9"/>
        <v>0.97499999999999998</v>
      </c>
      <c r="AG46" s="615">
        <f>AF53</f>
        <v>0.96168722988573796</v>
      </c>
    </row>
    <row r="47" spans="1:33" ht="15.75" customHeight="1">
      <c r="A47" s="630" t="s">
        <v>13</v>
      </c>
      <c r="B47" s="29" t="s">
        <v>19</v>
      </c>
      <c r="C47" s="616" t="s">
        <v>81</v>
      </c>
      <c r="D47" s="616"/>
      <c r="E47" s="29">
        <v>46</v>
      </c>
      <c r="F47" s="32">
        <v>2491</v>
      </c>
      <c r="G47" s="475">
        <f t="shared" si="35"/>
        <v>114586</v>
      </c>
      <c r="H47" s="33" t="s">
        <v>57</v>
      </c>
      <c r="I47" s="483">
        <v>16</v>
      </c>
      <c r="J47" s="31">
        <v>2000</v>
      </c>
      <c r="K47" s="12">
        <f t="shared" si="1"/>
        <v>125</v>
      </c>
      <c r="L47" s="483">
        <v>16</v>
      </c>
      <c r="M47" s="13">
        <f>F47/V47*60</f>
        <v>1916.153846153846</v>
      </c>
      <c r="N47" s="13">
        <f t="shared" si="3"/>
        <v>119.75961538461537</v>
      </c>
      <c r="O47" s="14">
        <f t="shared" si="4"/>
        <v>0</v>
      </c>
      <c r="P47" s="15">
        <f t="shared" si="5"/>
        <v>-5.2403846153846274</v>
      </c>
      <c r="Q47" s="474">
        <f t="shared" si="6"/>
        <v>0.95807692307692294</v>
      </c>
      <c r="R47" s="615"/>
      <c r="S47" s="34">
        <v>0.20972222222222223</v>
      </c>
      <c r="T47" s="34">
        <v>0.2638888888888889</v>
      </c>
      <c r="U47" s="475">
        <f t="shared" ref="U47:U52" si="38">IF(S47=TIME(17,0,0),"",(S47-T46)*24*60)</f>
        <v>28.000000000000021</v>
      </c>
      <c r="V47" s="484">
        <f t="shared" si="37"/>
        <v>78</v>
      </c>
      <c r="W47" s="16"/>
      <c r="X47" s="16"/>
      <c r="Y47" s="16"/>
      <c r="Z47" s="16"/>
      <c r="AA47" s="617"/>
      <c r="AB47" s="617"/>
      <c r="AC47" s="35"/>
      <c r="AD47" s="18"/>
      <c r="AE47" s="14">
        <f t="shared" si="8"/>
        <v>-83.846153846154039</v>
      </c>
      <c r="AF47" s="474">
        <f t="shared" si="9"/>
        <v>0.95807692307692294</v>
      </c>
      <c r="AG47" s="615"/>
    </row>
    <row r="48" spans="1:33" ht="15.75" customHeight="1">
      <c r="A48" s="630" t="s">
        <v>13</v>
      </c>
      <c r="B48" s="29" t="s">
        <v>19</v>
      </c>
      <c r="C48" s="622" t="s">
        <v>945</v>
      </c>
      <c r="D48" s="623"/>
      <c r="E48" s="29">
        <v>46</v>
      </c>
      <c r="F48" s="32">
        <v>4030</v>
      </c>
      <c r="G48" s="475">
        <f t="shared" si="35"/>
        <v>185380</v>
      </c>
      <c r="H48" s="33" t="s">
        <v>57</v>
      </c>
      <c r="I48" s="483">
        <v>17</v>
      </c>
      <c r="J48" s="31">
        <v>2000</v>
      </c>
      <c r="K48" s="12">
        <f t="shared" si="1"/>
        <v>117.64705882352941</v>
      </c>
      <c r="L48" s="483">
        <v>17</v>
      </c>
      <c r="M48" s="13">
        <f t="shared" ref="M48:M52" si="39">F48/V48*60</f>
        <v>1903.9370078740153</v>
      </c>
      <c r="N48" s="13">
        <f t="shared" si="3"/>
        <v>111.99629458082443</v>
      </c>
      <c r="O48" s="14">
        <f t="shared" si="4"/>
        <v>0</v>
      </c>
      <c r="P48" s="15">
        <f t="shared" si="5"/>
        <v>-5.6507642427049802</v>
      </c>
      <c r="Q48" s="474">
        <f t="shared" si="6"/>
        <v>0.95196850393700772</v>
      </c>
      <c r="R48" s="615"/>
      <c r="S48" s="34">
        <v>0.26805555555555555</v>
      </c>
      <c r="T48" s="34">
        <v>0.35625000000000001</v>
      </c>
      <c r="U48" s="475">
        <f t="shared" si="38"/>
        <v>5.9999999999999787</v>
      </c>
      <c r="V48" s="484">
        <f t="shared" si="37"/>
        <v>127.00000000000003</v>
      </c>
      <c r="W48" s="16"/>
      <c r="X48" s="16"/>
      <c r="Y48" s="19"/>
      <c r="Z48" s="19"/>
      <c r="AA48" s="617"/>
      <c r="AB48" s="617"/>
      <c r="AC48" s="35"/>
      <c r="AD48" s="18"/>
      <c r="AE48" s="14">
        <f t="shared" si="8"/>
        <v>-96.062992125984692</v>
      </c>
      <c r="AF48" s="474">
        <f t="shared" si="9"/>
        <v>0.9519685039370076</v>
      </c>
      <c r="AG48" s="615"/>
    </row>
    <row r="49" spans="1:33" ht="15.75" customHeight="1">
      <c r="A49" s="630" t="s">
        <v>2392</v>
      </c>
      <c r="B49" s="29" t="s">
        <v>15</v>
      </c>
      <c r="C49" s="479" t="s">
        <v>27</v>
      </c>
      <c r="D49" s="480"/>
      <c r="E49" s="29">
        <v>59.04</v>
      </c>
      <c r="F49" s="32">
        <v>1930</v>
      </c>
      <c r="G49" s="475">
        <f t="shared" si="35"/>
        <v>113947.2</v>
      </c>
      <c r="H49" s="33" t="s">
        <v>57</v>
      </c>
      <c r="I49" s="483">
        <v>19</v>
      </c>
      <c r="J49" s="31">
        <v>2000</v>
      </c>
      <c r="K49" s="12">
        <f t="shared" si="1"/>
        <v>105.26315789473684</v>
      </c>
      <c r="L49" s="483">
        <v>19</v>
      </c>
      <c r="M49" s="13">
        <f t="shared" si="39"/>
        <v>1929.9999999999991</v>
      </c>
      <c r="N49" s="13">
        <f t="shared" si="3"/>
        <v>101.578947368421</v>
      </c>
      <c r="O49" s="14">
        <f t="shared" si="4"/>
        <v>0</v>
      </c>
      <c r="P49" s="15">
        <f t="shared" si="5"/>
        <v>-3.6842105263158373</v>
      </c>
      <c r="Q49" s="474">
        <f t="shared" si="6"/>
        <v>0.96499999999999952</v>
      </c>
      <c r="R49" s="615"/>
      <c r="S49" s="34">
        <v>0.35972222222222222</v>
      </c>
      <c r="T49" s="34">
        <v>0.40138888888888891</v>
      </c>
      <c r="U49" s="475">
        <f t="shared" si="38"/>
        <v>4.9999999999999822</v>
      </c>
      <c r="V49" s="484">
        <f t="shared" si="37"/>
        <v>60.000000000000028</v>
      </c>
      <c r="W49" s="16"/>
      <c r="X49" s="16"/>
      <c r="Y49" s="19"/>
      <c r="Z49" s="19"/>
      <c r="AA49" s="617"/>
      <c r="AB49" s="617"/>
      <c r="AC49" s="35"/>
      <c r="AD49" s="18"/>
      <c r="AE49" s="14">
        <f t="shared" si="8"/>
        <v>-70.000000000000909</v>
      </c>
      <c r="AF49" s="474">
        <f t="shared" si="9"/>
        <v>0.96499999999999952</v>
      </c>
      <c r="AG49" s="615"/>
    </row>
    <row r="50" spans="1:33" ht="15.75" customHeight="1">
      <c r="A50" s="630" t="s">
        <v>13</v>
      </c>
      <c r="B50" s="29" t="s">
        <v>15</v>
      </c>
      <c r="C50" s="479" t="s">
        <v>48</v>
      </c>
      <c r="D50" s="480"/>
      <c r="E50" s="29">
        <v>55.56</v>
      </c>
      <c r="F50" s="32">
        <v>1837</v>
      </c>
      <c r="G50" s="475">
        <f t="shared" si="35"/>
        <v>102063.72</v>
      </c>
      <c r="H50" s="33" t="s">
        <v>57</v>
      </c>
      <c r="I50" s="483">
        <v>17</v>
      </c>
      <c r="J50" s="31">
        <v>2000</v>
      </c>
      <c r="K50" s="12">
        <f t="shared" si="1"/>
        <v>117.64705882352941</v>
      </c>
      <c r="L50" s="483">
        <v>17</v>
      </c>
      <c r="M50" s="13">
        <f t="shared" si="39"/>
        <v>1933.684210526317</v>
      </c>
      <c r="N50" s="13">
        <f t="shared" si="3"/>
        <v>113.74613003095982</v>
      </c>
      <c r="O50" s="14">
        <f t="shared" si="4"/>
        <v>0</v>
      </c>
      <c r="P50" s="15">
        <f t="shared" si="5"/>
        <v>-3.9009287925695872</v>
      </c>
      <c r="Q50" s="474">
        <f t="shared" si="6"/>
        <v>0.9668421052631585</v>
      </c>
      <c r="R50" s="615"/>
      <c r="S50" s="34">
        <v>0.70833333333333337</v>
      </c>
      <c r="T50" s="34">
        <v>0.74791666666666667</v>
      </c>
      <c r="U50" s="475" t="str">
        <f t="shared" si="38"/>
        <v/>
      </c>
      <c r="V50" s="484">
        <f t="shared" si="37"/>
        <v>56.999999999999957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-66.315789473683026</v>
      </c>
      <c r="AF50" s="474">
        <f t="shared" si="9"/>
        <v>0.9668421052631585</v>
      </c>
      <c r="AG50" s="615"/>
    </row>
    <row r="51" spans="1:33" ht="15.75" customHeight="1">
      <c r="A51" s="630" t="s">
        <v>2392</v>
      </c>
      <c r="B51" s="29" t="s">
        <v>15</v>
      </c>
      <c r="C51" s="622" t="s">
        <v>841</v>
      </c>
      <c r="D51" s="623"/>
      <c r="E51" s="29">
        <v>54.09</v>
      </c>
      <c r="F51" s="32">
        <v>1437</v>
      </c>
      <c r="G51" s="475">
        <f t="shared" si="35"/>
        <v>77727.33</v>
      </c>
      <c r="H51" s="33" t="s">
        <v>57</v>
      </c>
      <c r="I51" s="483">
        <v>13</v>
      </c>
      <c r="J51" s="31">
        <v>2000</v>
      </c>
      <c r="K51" s="12">
        <f t="shared" si="1"/>
        <v>153.84615384615384</v>
      </c>
      <c r="L51" s="483">
        <v>13</v>
      </c>
      <c r="M51" s="13">
        <f t="shared" si="39"/>
        <v>1916</v>
      </c>
      <c r="N51" s="13">
        <f t="shared" si="3"/>
        <v>147.38461538461539</v>
      </c>
      <c r="O51" s="14">
        <f t="shared" si="4"/>
        <v>0</v>
      </c>
      <c r="P51" s="15">
        <f t="shared" si="5"/>
        <v>-6.4615384615384528</v>
      </c>
      <c r="Q51" s="474">
        <f t="shared" si="6"/>
        <v>0.95800000000000007</v>
      </c>
      <c r="R51" s="615"/>
      <c r="S51" s="34">
        <v>0.75347222222222221</v>
      </c>
      <c r="T51" s="34">
        <v>0.78472222222222221</v>
      </c>
      <c r="U51" s="475">
        <f t="shared" si="38"/>
        <v>7.9999999999999716</v>
      </c>
      <c r="V51" s="484">
        <f t="shared" si="37"/>
        <v>45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-84</v>
      </c>
      <c r="AF51" s="474">
        <f t="shared" si="9"/>
        <v>0.95799999999999996</v>
      </c>
      <c r="AG51" s="615"/>
    </row>
    <row r="52" spans="1:33" ht="15.75" customHeight="1">
      <c r="A52" s="630" t="s">
        <v>2393</v>
      </c>
      <c r="B52" s="29" t="s">
        <v>15</v>
      </c>
      <c r="C52" s="622" t="s">
        <v>85</v>
      </c>
      <c r="D52" s="623"/>
      <c r="E52" s="29">
        <v>56.43</v>
      </c>
      <c r="F52" s="32">
        <v>1244</v>
      </c>
      <c r="G52" s="475">
        <f t="shared" si="35"/>
        <v>70198.92</v>
      </c>
      <c r="H52" s="33" t="s">
        <v>57</v>
      </c>
      <c r="I52" s="483">
        <v>13</v>
      </c>
      <c r="J52" s="31">
        <v>2000</v>
      </c>
      <c r="K52" s="12">
        <f t="shared" si="1"/>
        <v>153.84615384615384</v>
      </c>
      <c r="L52" s="483">
        <v>13</v>
      </c>
      <c r="M52" s="13">
        <f t="shared" si="39"/>
        <v>1913.8461538461529</v>
      </c>
      <c r="N52" s="13">
        <f t="shared" si="3"/>
        <v>147.21893491124254</v>
      </c>
      <c r="O52" s="14">
        <f t="shared" si="4"/>
        <v>0</v>
      </c>
      <c r="P52" s="15">
        <f t="shared" si="5"/>
        <v>-6.6272189349112978</v>
      </c>
      <c r="Q52" s="474">
        <f t="shared" si="6"/>
        <v>0.95692307692307654</v>
      </c>
      <c r="R52" s="615"/>
      <c r="S52" s="34">
        <v>0.7895833333333333</v>
      </c>
      <c r="T52" s="34">
        <v>0.81666666666666665</v>
      </c>
      <c r="U52" s="475">
        <f t="shared" si="38"/>
        <v>6.9999999999999751</v>
      </c>
      <c r="V52" s="484">
        <f t="shared" si="37"/>
        <v>39.000000000000021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-86.153846153847098</v>
      </c>
      <c r="AF52" s="474">
        <f t="shared" si="9"/>
        <v>0.95692307692307643</v>
      </c>
      <c r="AG52" s="615"/>
    </row>
    <row r="53" spans="1:33">
      <c r="A53" s="631" t="s">
        <v>13</v>
      </c>
      <c r="B53" s="29" t="s">
        <v>2394</v>
      </c>
      <c r="C53" s="618"/>
      <c r="D53" s="618"/>
      <c r="E53" s="476"/>
      <c r="F53" s="30"/>
      <c r="G53" s="12"/>
      <c r="H53" s="485"/>
      <c r="I53" s="23">
        <v>16.714285714285715</v>
      </c>
      <c r="J53" s="31">
        <v>2000</v>
      </c>
      <c r="K53" s="12">
        <f t="shared" si="1"/>
        <v>119.65811965811965</v>
      </c>
      <c r="L53" s="23">
        <v>16.714285714285715</v>
      </c>
      <c r="M53" s="13">
        <f>AVERAGE(M46:M52)</f>
        <v>1923.3744597714758</v>
      </c>
      <c r="N53" s="12">
        <f t="shared" si="3"/>
        <v>115.07368562735324</v>
      </c>
      <c r="O53" s="14">
        <f t="shared" si="4"/>
        <v>0</v>
      </c>
      <c r="P53" s="15">
        <f t="shared" si="5"/>
        <v>-4.5844340307664027</v>
      </c>
      <c r="Q53" s="474">
        <f t="shared" si="6"/>
        <v>0.96168722988573796</v>
      </c>
      <c r="R53" s="615"/>
      <c r="S53" s="34"/>
      <c r="T53" s="34"/>
      <c r="U53" s="475"/>
      <c r="V53" s="484"/>
      <c r="W53" s="12"/>
      <c r="X53" s="12"/>
      <c r="Y53" s="24">
        <f>SUM(Y46:Y52)</f>
        <v>0</v>
      </c>
      <c r="Z53" s="24">
        <f>SUM(Z46:Z52)</f>
        <v>0</v>
      </c>
      <c r="AA53" s="614"/>
      <c r="AB53" s="614"/>
      <c r="AC53" s="24">
        <v>7</v>
      </c>
      <c r="AD53" s="24">
        <f>SUM(AD46:AD52)</f>
        <v>0</v>
      </c>
      <c r="AE53" s="14">
        <f>M53-J53</f>
        <v>-76.625540228524187</v>
      </c>
      <c r="AF53" s="474">
        <f t="shared" si="9"/>
        <v>0.96168722988573796</v>
      </c>
      <c r="AG53" s="615"/>
    </row>
    <row r="54" spans="1:33" ht="15.75" customHeight="1">
      <c r="A54" s="626" t="s">
        <v>458</v>
      </c>
      <c r="B54" s="485" t="s">
        <v>40</v>
      </c>
      <c r="C54" s="616" t="s">
        <v>49</v>
      </c>
      <c r="D54" s="616"/>
      <c r="E54" s="29">
        <v>34.36</v>
      </c>
      <c r="F54" s="32">
        <v>1831</v>
      </c>
      <c r="G54" s="475">
        <f t="shared" ref="G54:G57" si="40">E54*F54</f>
        <v>62913.159999999996</v>
      </c>
      <c r="H54" s="33" t="s">
        <v>57</v>
      </c>
      <c r="I54" s="483">
        <v>10</v>
      </c>
      <c r="J54" s="31">
        <v>3000</v>
      </c>
      <c r="K54" s="12">
        <f t="shared" si="1"/>
        <v>300</v>
      </c>
      <c r="L54" s="483">
        <v>10</v>
      </c>
      <c r="M54" s="13">
        <f t="shared" ref="M54:M57" si="41">F54/V54*60</f>
        <v>2891.0526315789484</v>
      </c>
      <c r="N54" s="12">
        <f t="shared" si="3"/>
        <v>289.10526315789485</v>
      </c>
      <c r="O54" s="14">
        <f t="shared" si="4"/>
        <v>0</v>
      </c>
      <c r="P54" s="15">
        <f t="shared" si="5"/>
        <v>-10.894736842105146</v>
      </c>
      <c r="Q54" s="474">
        <f t="shared" si="6"/>
        <v>0.96368421052631614</v>
      </c>
      <c r="R54" s="615">
        <f>Q58</f>
        <v>0.96013426584479211</v>
      </c>
      <c r="S54" s="34">
        <v>0.20833333333333334</v>
      </c>
      <c r="T54" s="34">
        <v>0.23472222222222222</v>
      </c>
      <c r="U54" s="475"/>
      <c r="V54" s="484">
        <f t="shared" ref="V54:V57" si="42">(T54-S54)*24*60</f>
        <v>37.999999999999986</v>
      </c>
      <c r="W54" s="16"/>
      <c r="X54" s="16"/>
      <c r="Y54" s="21"/>
      <c r="Z54" s="21"/>
      <c r="AA54" s="617"/>
      <c r="AB54" s="617"/>
      <c r="AC54" s="35">
        <v>4</v>
      </c>
      <c r="AD54" s="18"/>
      <c r="AE54" s="14">
        <f t="shared" ref="AE54:AE64" si="43">M54-J54</f>
        <v>-108.94736842105158</v>
      </c>
      <c r="AF54" s="474">
        <f t="shared" si="9"/>
        <v>0.96368421052631614</v>
      </c>
      <c r="AG54" s="615">
        <f>AF58</f>
        <v>0.960134265844792</v>
      </c>
    </row>
    <row r="55" spans="1:33" ht="15.75" customHeight="1">
      <c r="A55" s="626" t="s">
        <v>458</v>
      </c>
      <c r="B55" s="485" t="s">
        <v>40</v>
      </c>
      <c r="C55" s="616" t="s">
        <v>51</v>
      </c>
      <c r="D55" s="616"/>
      <c r="E55" s="29">
        <v>26.78</v>
      </c>
      <c r="F55" s="32">
        <v>2159</v>
      </c>
      <c r="G55" s="475">
        <f t="shared" si="40"/>
        <v>57818.020000000004</v>
      </c>
      <c r="H55" s="33" t="s">
        <v>57</v>
      </c>
      <c r="I55" s="483">
        <v>10</v>
      </c>
      <c r="J55" s="31">
        <v>3000</v>
      </c>
      <c r="K55" s="12">
        <f t="shared" si="1"/>
        <v>300</v>
      </c>
      <c r="L55" s="483">
        <v>10</v>
      </c>
      <c r="M55" s="13">
        <f t="shared" si="41"/>
        <v>2878.6666666666638</v>
      </c>
      <c r="N55" s="12">
        <f t="shared" si="3"/>
        <v>287.86666666666639</v>
      </c>
      <c r="O55" s="14">
        <f t="shared" si="4"/>
        <v>0</v>
      </c>
      <c r="P55" s="15">
        <f t="shared" si="5"/>
        <v>-12.13333333333361</v>
      </c>
      <c r="Q55" s="474">
        <f t="shared" si="6"/>
        <v>0.95955555555555461</v>
      </c>
      <c r="R55" s="615"/>
      <c r="S55" s="34">
        <v>0.23958333333333334</v>
      </c>
      <c r="T55" s="34">
        <v>0.27083333333333337</v>
      </c>
      <c r="U55" s="475">
        <f t="shared" ref="U55:U57" si="44">(S55-T54)*24*60</f>
        <v>7.0000000000000151</v>
      </c>
      <c r="V55" s="484">
        <f t="shared" si="42"/>
        <v>45.000000000000043</v>
      </c>
      <c r="W55" s="475"/>
      <c r="X55" s="475"/>
      <c r="Y55" s="475"/>
      <c r="Z55" s="475"/>
      <c r="AA55" s="617"/>
      <c r="AB55" s="617"/>
      <c r="AC55" s="35"/>
      <c r="AD55" s="18"/>
      <c r="AE55" s="14">
        <f t="shared" si="43"/>
        <v>-121.33333333333621</v>
      </c>
      <c r="AF55" s="474">
        <f t="shared" si="9"/>
        <v>0.95955555555555461</v>
      </c>
      <c r="AG55" s="615"/>
    </row>
    <row r="56" spans="1:33" ht="15.75" customHeight="1">
      <c r="A56" s="626" t="s">
        <v>2395</v>
      </c>
      <c r="B56" s="485" t="s">
        <v>40</v>
      </c>
      <c r="C56" s="616" t="s">
        <v>52</v>
      </c>
      <c r="D56" s="616"/>
      <c r="E56" s="29">
        <v>35.869999999999997</v>
      </c>
      <c r="F56" s="32">
        <v>3528</v>
      </c>
      <c r="G56" s="475">
        <f t="shared" si="40"/>
        <v>126549.35999999999</v>
      </c>
      <c r="H56" s="33" t="s">
        <v>57</v>
      </c>
      <c r="I56" s="483">
        <v>9</v>
      </c>
      <c r="J56" s="31">
        <v>3000</v>
      </c>
      <c r="K56" s="12">
        <f t="shared" si="1"/>
        <v>333.33333333333331</v>
      </c>
      <c r="L56" s="483">
        <v>9</v>
      </c>
      <c r="M56" s="13">
        <f t="shared" si="41"/>
        <v>2860.5405405405413</v>
      </c>
      <c r="N56" s="12">
        <f t="shared" si="3"/>
        <v>317.83783783783792</v>
      </c>
      <c r="O56" s="14">
        <f t="shared" si="4"/>
        <v>0</v>
      </c>
      <c r="P56" s="15">
        <f t="shared" si="5"/>
        <v>-15.495495495495391</v>
      </c>
      <c r="Q56" s="474">
        <f t="shared" si="6"/>
        <v>0.95351351351351388</v>
      </c>
      <c r="R56" s="615"/>
      <c r="S56" s="34">
        <v>0.27638888888888891</v>
      </c>
      <c r="T56" s="34">
        <v>0.32777777777777778</v>
      </c>
      <c r="U56" s="475">
        <f t="shared" si="44"/>
        <v>7.9999999999999716</v>
      </c>
      <c r="V56" s="484">
        <f t="shared" si="42"/>
        <v>73.999999999999972</v>
      </c>
      <c r="W56" s="475"/>
      <c r="X56" s="475"/>
      <c r="Y56" s="475"/>
      <c r="Z56" s="475"/>
      <c r="AA56" s="617"/>
      <c r="AB56" s="617"/>
      <c r="AC56" s="35"/>
      <c r="AD56" s="18"/>
      <c r="AE56" s="14">
        <f t="shared" si="43"/>
        <v>-139.45945945945869</v>
      </c>
      <c r="AF56" s="474">
        <f t="shared" si="9"/>
        <v>0.95351351351351377</v>
      </c>
      <c r="AG56" s="615"/>
    </row>
    <row r="57" spans="1:33" ht="15.75" customHeight="1">
      <c r="A57" s="626" t="s">
        <v>2396</v>
      </c>
      <c r="B57" s="485" t="s">
        <v>40</v>
      </c>
      <c r="C57" s="616" t="s">
        <v>53</v>
      </c>
      <c r="D57" s="616"/>
      <c r="E57" s="29">
        <v>34.35</v>
      </c>
      <c r="F57" s="32">
        <v>1783</v>
      </c>
      <c r="G57" s="475">
        <f t="shared" si="40"/>
        <v>61246.05</v>
      </c>
      <c r="H57" s="33" t="s">
        <v>57</v>
      </c>
      <c r="I57" s="483">
        <v>8</v>
      </c>
      <c r="J57" s="31">
        <v>3000</v>
      </c>
      <c r="K57" s="12">
        <f t="shared" si="1"/>
        <v>375</v>
      </c>
      <c r="L57" s="483">
        <v>8</v>
      </c>
      <c r="M57" s="13">
        <f t="shared" si="41"/>
        <v>2891.351351351349</v>
      </c>
      <c r="N57" s="12">
        <f t="shared" si="3"/>
        <v>361.41891891891862</v>
      </c>
      <c r="O57" s="14">
        <f t="shared" si="4"/>
        <v>0</v>
      </c>
      <c r="P57" s="15">
        <f t="shared" si="5"/>
        <v>-13.581081081081379</v>
      </c>
      <c r="Q57" s="474">
        <f t="shared" si="6"/>
        <v>0.96378378378378304</v>
      </c>
      <c r="R57" s="615"/>
      <c r="S57" s="34">
        <v>0.33194444444444443</v>
      </c>
      <c r="T57" s="34">
        <v>0.3576388888888889</v>
      </c>
      <c r="U57" s="475">
        <f t="shared" si="44"/>
        <v>5.9999999999999787</v>
      </c>
      <c r="V57" s="484">
        <f t="shared" si="42"/>
        <v>37.000000000000028</v>
      </c>
      <c r="W57" s="475"/>
      <c r="X57" s="475"/>
      <c r="Y57" s="475"/>
      <c r="Z57" s="475"/>
      <c r="AA57" s="617"/>
      <c r="AB57" s="617"/>
      <c r="AC57" s="35"/>
      <c r="AD57" s="18"/>
      <c r="AE57" s="14">
        <f t="shared" si="43"/>
        <v>-108.64864864865103</v>
      </c>
      <c r="AF57" s="474">
        <f t="shared" si="9"/>
        <v>0.96378378378378304</v>
      </c>
      <c r="AG57" s="615"/>
    </row>
    <row r="58" spans="1:33">
      <c r="A58" s="627" t="s">
        <v>2397</v>
      </c>
      <c r="B58" s="29" t="s">
        <v>2375</v>
      </c>
      <c r="C58" s="618"/>
      <c r="D58" s="618"/>
      <c r="E58" s="476"/>
      <c r="F58" s="30"/>
      <c r="G58" s="12"/>
      <c r="H58" s="485"/>
      <c r="I58" s="23">
        <v>9.25</v>
      </c>
      <c r="J58" s="31">
        <v>3000</v>
      </c>
      <c r="K58" s="12">
        <f t="shared" si="1"/>
        <v>324.32432432432432</v>
      </c>
      <c r="L58" s="23">
        <v>9.25</v>
      </c>
      <c r="M58" s="13">
        <f>AVERAGE(M54:M57)</f>
        <v>2880.4027975343761</v>
      </c>
      <c r="N58" s="12">
        <f t="shared" si="3"/>
        <v>311.39489703074338</v>
      </c>
      <c r="O58" s="14">
        <f t="shared" si="4"/>
        <v>0</v>
      </c>
      <c r="P58" s="15">
        <f t="shared" si="5"/>
        <v>-12.929427293580943</v>
      </c>
      <c r="Q58" s="474">
        <f t="shared" si="6"/>
        <v>0.96013426584479211</v>
      </c>
      <c r="R58" s="615"/>
      <c r="S58" s="34"/>
      <c r="T58" s="34"/>
      <c r="U58" s="12"/>
      <c r="V58" s="484"/>
      <c r="W58" s="12"/>
      <c r="X58" s="12"/>
      <c r="Y58" s="24">
        <f>SUM(Y54:Y57)</f>
        <v>0</v>
      </c>
      <c r="Z58" s="24">
        <f>SUM(Z54:Z57)</f>
        <v>0</v>
      </c>
      <c r="AA58" s="614"/>
      <c r="AB58" s="614"/>
      <c r="AC58" s="24">
        <v>4</v>
      </c>
      <c r="AD58" s="24">
        <f>SUM(AD54:AD57)</f>
        <v>0</v>
      </c>
      <c r="AE58" s="14">
        <f t="shared" si="43"/>
        <v>-119.59720246562392</v>
      </c>
      <c r="AF58" s="474">
        <f t="shared" si="9"/>
        <v>0.960134265844792</v>
      </c>
      <c r="AG58" s="615"/>
    </row>
    <row r="59" spans="1:33" ht="15.75" customHeight="1">
      <c r="A59" s="619" t="s">
        <v>14</v>
      </c>
      <c r="B59" s="485" t="s">
        <v>32</v>
      </c>
      <c r="C59" s="616" t="s">
        <v>56</v>
      </c>
      <c r="D59" s="616"/>
      <c r="E59" s="29">
        <v>19.02</v>
      </c>
      <c r="F59" s="485">
        <v>7322</v>
      </c>
      <c r="G59" s="475">
        <f t="shared" ref="G59:G63" si="45">E59*F59</f>
        <v>139264.44</v>
      </c>
      <c r="H59" s="33" t="s">
        <v>57</v>
      </c>
      <c r="I59" s="483">
        <v>14</v>
      </c>
      <c r="J59" s="31">
        <v>2400</v>
      </c>
      <c r="K59" s="12">
        <f t="shared" si="1"/>
        <v>171.42857142857142</v>
      </c>
      <c r="L59" s="483">
        <v>14</v>
      </c>
      <c r="M59" s="13">
        <f t="shared" ref="M59:M63" si="46">F59/V59*60</f>
        <v>2288.125</v>
      </c>
      <c r="N59" s="12">
        <f t="shared" si="3"/>
        <v>163.4375</v>
      </c>
      <c r="O59" s="14">
        <f t="shared" si="4"/>
        <v>0</v>
      </c>
      <c r="P59" s="15">
        <f t="shared" si="5"/>
        <v>-7.9910714285714164</v>
      </c>
      <c r="Q59" s="474">
        <f t="shared" si="6"/>
        <v>0.95338541666666676</v>
      </c>
      <c r="R59" s="615">
        <f>Q64</f>
        <v>0.95779332662287198</v>
      </c>
      <c r="S59" s="34">
        <v>8.3333333333333329E-2</v>
      </c>
      <c r="T59" s="34">
        <v>0.21666666666666667</v>
      </c>
      <c r="U59" s="21"/>
      <c r="V59" s="484">
        <f t="shared" ref="V59:V63" si="47">(T59-S59)*24*60</f>
        <v>192.00000000000003</v>
      </c>
      <c r="W59" s="16">
        <f>T59</f>
        <v>0.21666666666666667</v>
      </c>
      <c r="X59" s="16">
        <f>S60</f>
        <v>0.23611111111111113</v>
      </c>
      <c r="Y59" s="16"/>
      <c r="Z59" s="16"/>
      <c r="AA59" s="617"/>
      <c r="AB59" s="617"/>
      <c r="AC59" s="35">
        <v>5</v>
      </c>
      <c r="AD59" s="18"/>
      <c r="AE59" s="14">
        <f t="shared" si="43"/>
        <v>-111.875</v>
      </c>
      <c r="AF59" s="474">
        <f t="shared" si="9"/>
        <v>0.95338541666666665</v>
      </c>
      <c r="AG59" s="615">
        <f>AF64</f>
        <v>0.95779332662287198</v>
      </c>
    </row>
    <row r="60" spans="1:33" ht="15.75" customHeight="1">
      <c r="A60" s="620" t="s">
        <v>2398</v>
      </c>
      <c r="B60" s="485" t="s">
        <v>32</v>
      </c>
      <c r="C60" s="616" t="s">
        <v>36</v>
      </c>
      <c r="D60" s="616"/>
      <c r="E60" s="29">
        <v>20.36</v>
      </c>
      <c r="F60" s="485">
        <v>3461</v>
      </c>
      <c r="G60" s="475">
        <f t="shared" si="45"/>
        <v>70465.959999999992</v>
      </c>
      <c r="H60" s="33" t="s">
        <v>57</v>
      </c>
      <c r="I60" s="483">
        <v>17</v>
      </c>
      <c r="J60" s="31">
        <v>2400</v>
      </c>
      <c r="K60" s="12">
        <f t="shared" si="1"/>
        <v>141.1764705882353</v>
      </c>
      <c r="L60" s="483">
        <v>17</v>
      </c>
      <c r="M60" s="13">
        <f t="shared" si="46"/>
        <v>2307.3333333333321</v>
      </c>
      <c r="N60" s="12">
        <f t="shared" si="3"/>
        <v>135.72549019607837</v>
      </c>
      <c r="O60" s="14">
        <f t="shared" si="4"/>
        <v>0</v>
      </c>
      <c r="P60" s="15">
        <f t="shared" si="5"/>
        <v>-5.4509803921569357</v>
      </c>
      <c r="Q60" s="474">
        <f t="shared" si="6"/>
        <v>0.9613888888888884</v>
      </c>
      <c r="R60" s="615"/>
      <c r="S60" s="34">
        <v>0.23611111111111113</v>
      </c>
      <c r="T60" s="34">
        <v>0.29861111111111116</v>
      </c>
      <c r="U60" s="475">
        <f t="shared" ref="U60:U63" si="48">(S60-T59)*24*60</f>
        <v>28.000000000000021</v>
      </c>
      <c r="V60" s="484">
        <f t="shared" si="47"/>
        <v>90.000000000000043</v>
      </c>
      <c r="W60" s="16"/>
      <c r="X60" s="16"/>
      <c r="Y60" s="16"/>
      <c r="Z60" s="16"/>
      <c r="AA60" s="617"/>
      <c r="AB60" s="617"/>
      <c r="AC60" s="35"/>
      <c r="AD60" s="18"/>
      <c r="AE60" s="14">
        <f t="shared" si="43"/>
        <v>-92.666666666667879</v>
      </c>
      <c r="AF60" s="474">
        <f t="shared" si="9"/>
        <v>0.9613888888888884</v>
      </c>
      <c r="AG60" s="615"/>
    </row>
    <row r="61" spans="1:33" ht="15.75" customHeight="1">
      <c r="A61" s="620" t="s">
        <v>2398</v>
      </c>
      <c r="B61" s="485" t="s">
        <v>32</v>
      </c>
      <c r="C61" s="616" t="s">
        <v>54</v>
      </c>
      <c r="D61" s="616"/>
      <c r="E61" s="29">
        <v>20.21</v>
      </c>
      <c r="F61" s="485">
        <v>2512</v>
      </c>
      <c r="G61" s="475">
        <f t="shared" si="45"/>
        <v>50767.520000000004</v>
      </c>
      <c r="H61" s="33" t="s">
        <v>57</v>
      </c>
      <c r="I61" s="483">
        <v>15</v>
      </c>
      <c r="J61" s="31">
        <v>2400</v>
      </c>
      <c r="K61" s="12">
        <f t="shared" si="1"/>
        <v>160</v>
      </c>
      <c r="L61" s="483">
        <v>15</v>
      </c>
      <c r="M61" s="13">
        <f t="shared" si="46"/>
        <v>2318.76923076923</v>
      </c>
      <c r="N61" s="12">
        <f t="shared" si="3"/>
        <v>154.58461538461535</v>
      </c>
      <c r="O61" s="14">
        <f t="shared" si="4"/>
        <v>0</v>
      </c>
      <c r="P61" s="15">
        <f t="shared" si="5"/>
        <v>-5.415384615384653</v>
      </c>
      <c r="Q61" s="474">
        <f t="shared" si="6"/>
        <v>0.96615384615384592</v>
      </c>
      <c r="R61" s="615"/>
      <c r="S61" s="34">
        <v>0.30208333333333337</v>
      </c>
      <c r="T61" s="34">
        <v>0.34722222222222227</v>
      </c>
      <c r="U61" s="475">
        <f t="shared" si="48"/>
        <v>4.9999999999999822</v>
      </c>
      <c r="V61" s="484">
        <f t="shared" si="47"/>
        <v>65.000000000000014</v>
      </c>
      <c r="W61" s="16"/>
      <c r="X61" s="16"/>
      <c r="Y61" s="16"/>
      <c r="Z61" s="16"/>
      <c r="AA61" s="617"/>
      <c r="AB61" s="617"/>
      <c r="AC61" s="35"/>
      <c r="AD61" s="18"/>
      <c r="AE61" s="14">
        <f t="shared" si="43"/>
        <v>-81.230769230769965</v>
      </c>
      <c r="AF61" s="474">
        <f t="shared" si="9"/>
        <v>0.96615384615384581</v>
      </c>
      <c r="AG61" s="615"/>
    </row>
    <row r="62" spans="1:33" ht="15.75" customHeight="1">
      <c r="A62" s="620" t="s">
        <v>2399</v>
      </c>
      <c r="B62" s="485" t="s">
        <v>32</v>
      </c>
      <c r="C62" s="616" t="s">
        <v>55</v>
      </c>
      <c r="D62" s="616"/>
      <c r="E62" s="29">
        <v>22.69</v>
      </c>
      <c r="F62" s="485">
        <v>2442</v>
      </c>
      <c r="G62" s="475">
        <f t="shared" si="45"/>
        <v>55408.98</v>
      </c>
      <c r="H62" s="33" t="s">
        <v>57</v>
      </c>
      <c r="I62" s="483">
        <v>15</v>
      </c>
      <c r="J62" s="31">
        <v>2400</v>
      </c>
      <c r="K62" s="12">
        <f t="shared" si="1"/>
        <v>160</v>
      </c>
      <c r="L62" s="483">
        <v>15</v>
      </c>
      <c r="M62" s="13">
        <f t="shared" si="46"/>
        <v>2289.3749999999995</v>
      </c>
      <c r="N62" s="12">
        <f t="shared" si="3"/>
        <v>152.62499999999997</v>
      </c>
      <c r="O62" s="14">
        <f t="shared" si="4"/>
        <v>0</v>
      </c>
      <c r="P62" s="15">
        <f t="shared" si="5"/>
        <v>-7.3750000000000284</v>
      </c>
      <c r="Q62" s="474">
        <f t="shared" si="6"/>
        <v>0.95390624999999984</v>
      </c>
      <c r="R62" s="615"/>
      <c r="S62" s="34">
        <v>0.3527777777777778</v>
      </c>
      <c r="T62" s="34">
        <v>0.39722222222222225</v>
      </c>
      <c r="U62" s="475">
        <f t="shared" si="48"/>
        <v>7.9999999999999716</v>
      </c>
      <c r="V62" s="484">
        <f t="shared" si="47"/>
        <v>64.000000000000014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-110.62500000000045</v>
      </c>
      <c r="AF62" s="474">
        <f t="shared" si="9"/>
        <v>0.95390624999999984</v>
      </c>
      <c r="AG62" s="615"/>
    </row>
    <row r="63" spans="1:33" ht="15.75" customHeight="1">
      <c r="A63" s="620" t="s">
        <v>14</v>
      </c>
      <c r="B63" s="485" t="s">
        <v>32</v>
      </c>
      <c r="C63" s="616" t="s">
        <v>949</v>
      </c>
      <c r="D63" s="616"/>
      <c r="E63" s="29">
        <v>25.98</v>
      </c>
      <c r="F63" s="485">
        <v>4618</v>
      </c>
      <c r="G63" s="475">
        <f t="shared" si="45"/>
        <v>119975.64</v>
      </c>
      <c r="H63" s="33" t="s">
        <v>57</v>
      </c>
      <c r="I63" s="483">
        <v>17</v>
      </c>
      <c r="J63" s="31">
        <v>2400</v>
      </c>
      <c r="K63" s="12">
        <f t="shared" si="1"/>
        <v>141.1764705882353</v>
      </c>
      <c r="L63" s="483">
        <v>17</v>
      </c>
      <c r="M63" s="13">
        <f t="shared" si="46"/>
        <v>2289.9173553719015</v>
      </c>
      <c r="N63" s="12">
        <f t="shared" si="3"/>
        <v>134.70102090422949</v>
      </c>
      <c r="O63" s="14">
        <f t="shared" si="4"/>
        <v>0</v>
      </c>
      <c r="P63" s="15">
        <f t="shared" si="5"/>
        <v>-6.4754496840058096</v>
      </c>
      <c r="Q63" s="474">
        <f t="shared" si="6"/>
        <v>0.95413223140495884</v>
      </c>
      <c r="R63" s="615"/>
      <c r="S63" s="34">
        <v>0.40277777777777779</v>
      </c>
      <c r="T63" s="34">
        <v>0.48680555555555555</v>
      </c>
      <c r="U63" s="475">
        <f t="shared" si="48"/>
        <v>7.9999999999999716</v>
      </c>
      <c r="V63" s="484">
        <f t="shared" si="47"/>
        <v>120.99999999999997</v>
      </c>
      <c r="W63" s="16"/>
      <c r="X63" s="16"/>
      <c r="Y63" s="16"/>
      <c r="Z63" s="16"/>
      <c r="AA63" s="617"/>
      <c r="AB63" s="617"/>
      <c r="AC63" s="35"/>
      <c r="AD63" s="18"/>
      <c r="AE63" s="14">
        <f t="shared" si="43"/>
        <v>-110.08264462809848</v>
      </c>
      <c r="AF63" s="474">
        <f t="shared" si="9"/>
        <v>0.95413223140495895</v>
      </c>
      <c r="AG63" s="615"/>
    </row>
    <row r="64" spans="1:33" ht="16.5" customHeight="1">
      <c r="A64" s="621" t="s">
        <v>14</v>
      </c>
      <c r="B64" s="29" t="s">
        <v>6</v>
      </c>
      <c r="C64" s="612"/>
      <c r="D64" s="613"/>
      <c r="E64" s="476"/>
      <c r="F64" s="30"/>
      <c r="G64" s="12"/>
      <c r="H64" s="485"/>
      <c r="I64" s="23">
        <v>15.6</v>
      </c>
      <c r="J64" s="31">
        <v>2400</v>
      </c>
      <c r="K64" s="12">
        <f t="shared" si="1"/>
        <v>153.84615384615384</v>
      </c>
      <c r="L64" s="23">
        <v>15.6</v>
      </c>
      <c r="M64" s="13">
        <f>AVERAGE(M59:M63)</f>
        <v>2298.7039838948926</v>
      </c>
      <c r="N64" s="12">
        <f t="shared" si="3"/>
        <v>147.35281948044184</v>
      </c>
      <c r="O64" s="14">
        <f t="shared" si="4"/>
        <v>0</v>
      </c>
      <c r="P64" s="15">
        <f t="shared" si="5"/>
        <v>-6.493334365712002</v>
      </c>
      <c r="Q64" s="474">
        <f t="shared" si="6"/>
        <v>0.95779332662287198</v>
      </c>
      <c r="R64" s="615"/>
      <c r="S64" s="34"/>
      <c r="T64" s="34"/>
      <c r="U64" s="12"/>
      <c r="V64" s="484"/>
      <c r="W64" s="12"/>
      <c r="X64" s="12"/>
      <c r="Y64" s="24">
        <f>SUM(Y59:Y63)</f>
        <v>0</v>
      </c>
      <c r="Z64" s="24">
        <f>SUM(Z59:Z63)</f>
        <v>0</v>
      </c>
      <c r="AA64" s="614"/>
      <c r="AB64" s="614"/>
      <c r="AC64" s="24">
        <v>5</v>
      </c>
      <c r="AD64" s="24">
        <f>SUM(AD59:AD63)</f>
        <v>0</v>
      </c>
      <c r="AE64" s="14">
        <f t="shared" si="43"/>
        <v>-101.29601610510736</v>
      </c>
      <c r="AF64" s="474">
        <f t="shared" si="9"/>
        <v>0.95779332662287198</v>
      </c>
      <c r="AG64" s="615"/>
    </row>
    <row r="65" spans="4:5">
      <c r="D65" s="25"/>
      <c r="E65" s="25"/>
    </row>
  </sheetData>
  <mergeCells count="17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14:A21"/>
    <mergeCell ref="C14:D14"/>
    <mergeCell ref="R14:R21"/>
    <mergeCell ref="AA14:AB14"/>
    <mergeCell ref="C28:D28"/>
    <mergeCell ref="AA28:AB28"/>
    <mergeCell ref="AG14:AG21"/>
    <mergeCell ref="C15:D15"/>
    <mergeCell ref="AA15:AB15"/>
    <mergeCell ref="C16:D16"/>
    <mergeCell ref="AA16:AB16"/>
    <mergeCell ref="C17:D17"/>
    <mergeCell ref="AA17:AB17"/>
    <mergeCell ref="C18:D18"/>
    <mergeCell ref="AA18:AB18"/>
    <mergeCell ref="C21:D21"/>
    <mergeCell ref="AA21:AB21"/>
    <mergeCell ref="A29:A34"/>
    <mergeCell ref="C29:D29"/>
    <mergeCell ref="R29:R34"/>
    <mergeCell ref="AA29:AB29"/>
    <mergeCell ref="AA34:AB3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22:A28"/>
    <mergeCell ref="C22:D22"/>
    <mergeCell ref="R22:R28"/>
    <mergeCell ref="AA22:AB22"/>
    <mergeCell ref="AA27:AB27"/>
    <mergeCell ref="AG35:AG41"/>
    <mergeCell ref="C36:D36"/>
    <mergeCell ref="AA36:AB36"/>
    <mergeCell ref="C37:D37"/>
    <mergeCell ref="AA37:AB37"/>
    <mergeCell ref="C38:D38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8:AB38"/>
    <mergeCell ref="C39:D39"/>
    <mergeCell ref="AA39:AB39"/>
    <mergeCell ref="C40:D40"/>
    <mergeCell ref="AA40:AB40"/>
    <mergeCell ref="C41:D41"/>
    <mergeCell ref="AA41:AB41"/>
    <mergeCell ref="A35:A41"/>
    <mergeCell ref="C35:D35"/>
    <mergeCell ref="R35:R41"/>
    <mergeCell ref="AA35:AB35"/>
    <mergeCell ref="AA45:AB45"/>
    <mergeCell ref="A46:A53"/>
    <mergeCell ref="C46:D46"/>
    <mergeCell ref="R46:R53"/>
    <mergeCell ref="AA46:AB46"/>
    <mergeCell ref="AG46:AG53"/>
    <mergeCell ref="C47:D47"/>
    <mergeCell ref="AA47:AB47"/>
    <mergeCell ref="C48:D48"/>
    <mergeCell ref="AA48:AB48"/>
    <mergeCell ref="A42:A45"/>
    <mergeCell ref="C42:D42"/>
    <mergeCell ref="R42:R45"/>
    <mergeCell ref="AA42:AB42"/>
    <mergeCell ref="AG42:AG45"/>
    <mergeCell ref="C43:D43"/>
    <mergeCell ref="AA43:AB43"/>
    <mergeCell ref="C44:D44"/>
    <mergeCell ref="AA44:AB44"/>
    <mergeCell ref="C45:D45"/>
    <mergeCell ref="C53:D53"/>
    <mergeCell ref="AA53:AB53"/>
    <mergeCell ref="A54:A58"/>
    <mergeCell ref="C54:D54"/>
    <mergeCell ref="R54:R58"/>
    <mergeCell ref="AA54:AB54"/>
    <mergeCell ref="AA49:AB49"/>
    <mergeCell ref="AA50:AB50"/>
    <mergeCell ref="C51:D51"/>
    <mergeCell ref="AA51:AB51"/>
    <mergeCell ref="C52:D52"/>
    <mergeCell ref="AA52:AB52"/>
    <mergeCell ref="AG54:AG58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A59:A64"/>
    <mergeCell ref="C59:D59"/>
    <mergeCell ref="R59:R64"/>
    <mergeCell ref="AA59:AB59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A64:AB64"/>
  </mergeCells>
  <phoneticPr fontId="3" type="noConversion"/>
  <conditionalFormatting sqref="O53:O54 O57:O64 O5:O9 O13:O15 O21:O51">
    <cfRule type="cellIs" dxfId="1664" priority="46" operator="greaterThan">
      <formula>0</formula>
    </cfRule>
  </conditionalFormatting>
  <conditionalFormatting sqref="P5:P7 P57 AE57 P59:P63 P29:P33 P54 P9 P13:P15 P22:P27 P46:P51 P35:P44 AE5:AE54 AE59:AE64">
    <cfRule type="cellIs" dxfId="1663" priority="50" operator="lessThan">
      <formula>0</formula>
    </cfRule>
  </conditionalFormatting>
  <conditionalFormatting sqref="AF57 Q53:Q54 Q57:Q64 Q5:Q9 Q13:Q15 Q21:Q51 AF5:AF54 AF59:AF64">
    <cfRule type="cellIs" dxfId="1662" priority="47" operator="greaterThan">
      <formula>1</formula>
    </cfRule>
    <cfRule type="cellIs" dxfId="1661" priority="48" operator="lessThan">
      <formula>0.8</formula>
    </cfRule>
  </conditionalFormatting>
  <conditionalFormatting sqref="AG14:AG15 R14:R15 AG57 AG53:AG54 R53:R54 R57:R64 AG5:AG9 R5:R9 AG21:AG51 R21:R51">
    <cfRule type="cellIs" dxfId="1660" priority="52" operator="lessThan">
      <formula>0.8</formula>
    </cfRule>
  </conditionalFormatting>
  <conditionalFormatting sqref="AG42">
    <cfRule type="cellIs" dxfId="1659" priority="54" operator="lessThan">
      <formula>0.8</formula>
    </cfRule>
  </conditionalFormatting>
  <conditionalFormatting sqref="AG22:AG27">
    <cfRule type="cellIs" dxfId="1658" priority="51" operator="lessThan">
      <formula>0.8</formula>
    </cfRule>
  </conditionalFormatting>
  <conditionalFormatting sqref="AG29">
    <cfRule type="cellIs" dxfId="1657" priority="53" operator="lessThan">
      <formula>0.8</formula>
    </cfRule>
  </conditionalFormatting>
  <conditionalFormatting sqref="AG35:AG40">
    <cfRule type="cellIs" dxfId="1656" priority="49" operator="lessThan">
      <formula>0.8</formula>
    </cfRule>
  </conditionalFormatting>
  <conditionalFormatting sqref="AE58">
    <cfRule type="cellIs" dxfId="1655" priority="45" operator="lessThan">
      <formula>0</formula>
    </cfRule>
  </conditionalFormatting>
  <conditionalFormatting sqref="AF58">
    <cfRule type="cellIs" dxfId="1654" priority="43" operator="greaterThan">
      <formula>1</formula>
    </cfRule>
    <cfRule type="cellIs" dxfId="1653" priority="44" operator="lessThan">
      <formula>0.8</formula>
    </cfRule>
  </conditionalFormatting>
  <conditionalFormatting sqref="O16:O17">
    <cfRule type="cellIs" dxfId="1652" priority="38" operator="greaterThan">
      <formula>0</formula>
    </cfRule>
  </conditionalFormatting>
  <conditionalFormatting sqref="P16:P17">
    <cfRule type="cellIs" dxfId="1651" priority="41" operator="lessThan">
      <formula>0</formula>
    </cfRule>
  </conditionalFormatting>
  <conditionalFormatting sqref="Q16:Q17">
    <cfRule type="cellIs" dxfId="1650" priority="39" operator="greaterThan">
      <formula>1</formula>
    </cfRule>
    <cfRule type="cellIs" dxfId="1649" priority="40" operator="lessThan">
      <formula>0.8</formula>
    </cfRule>
  </conditionalFormatting>
  <conditionalFormatting sqref="R16:R17 AG16:AG17">
    <cfRule type="cellIs" dxfId="1648" priority="42" operator="lessThan">
      <formula>0.8</formula>
    </cfRule>
  </conditionalFormatting>
  <conditionalFormatting sqref="O10:O12">
    <cfRule type="cellIs" dxfId="1647" priority="34" operator="greaterThan">
      <formula>0</formula>
    </cfRule>
  </conditionalFormatting>
  <conditionalFormatting sqref="P10:P12">
    <cfRule type="cellIs" dxfId="1646" priority="37" operator="lessThan">
      <formula>0</formula>
    </cfRule>
  </conditionalFormatting>
  <conditionalFormatting sqref="Q10:Q12">
    <cfRule type="cellIs" dxfId="1645" priority="35" operator="greaterThan">
      <formula>1</formula>
    </cfRule>
    <cfRule type="cellIs" dxfId="1644" priority="36" operator="lessThan">
      <formula>0.8</formula>
    </cfRule>
  </conditionalFormatting>
  <conditionalFormatting sqref="O52">
    <cfRule type="cellIs" dxfId="1643" priority="29" operator="greaterThan">
      <formula>0</formula>
    </cfRule>
  </conditionalFormatting>
  <conditionalFormatting sqref="P52">
    <cfRule type="cellIs" dxfId="1642" priority="32" operator="lessThan">
      <formula>0</formula>
    </cfRule>
  </conditionalFormatting>
  <conditionalFormatting sqref="Q52">
    <cfRule type="cellIs" dxfId="1641" priority="30" operator="greaterThan">
      <formula>1</formula>
    </cfRule>
    <cfRule type="cellIs" dxfId="1640" priority="31" operator="lessThan">
      <formula>0.8</formula>
    </cfRule>
  </conditionalFormatting>
  <conditionalFormatting sqref="R52 AG52">
    <cfRule type="cellIs" dxfId="1639" priority="33" operator="lessThan">
      <formula>0.8</formula>
    </cfRule>
  </conditionalFormatting>
  <conditionalFormatting sqref="O56">
    <cfRule type="cellIs" dxfId="1638" priority="24" operator="greaterThan">
      <formula>0</formula>
    </cfRule>
  </conditionalFormatting>
  <conditionalFormatting sqref="P56 AE56">
    <cfRule type="cellIs" dxfId="1637" priority="27" operator="lessThan">
      <formula>0</formula>
    </cfRule>
  </conditionalFormatting>
  <conditionalFormatting sqref="Q56 AF56">
    <cfRule type="cellIs" dxfId="1636" priority="25" operator="greaterThan">
      <formula>1</formula>
    </cfRule>
    <cfRule type="cellIs" dxfId="1635" priority="26" operator="lessThan">
      <formula>0.8</formula>
    </cfRule>
  </conditionalFormatting>
  <conditionalFormatting sqref="R56 AG56">
    <cfRule type="cellIs" dxfId="1634" priority="28" operator="lessThan">
      <formula>0.8</formula>
    </cfRule>
  </conditionalFormatting>
  <conditionalFormatting sqref="O18:O19">
    <cfRule type="cellIs" dxfId="1633" priority="19" operator="greaterThan">
      <formula>0</formula>
    </cfRule>
  </conditionalFormatting>
  <conditionalFormatting sqref="P18:P19">
    <cfRule type="cellIs" dxfId="1632" priority="22" operator="lessThan">
      <formula>0</formula>
    </cfRule>
  </conditionalFormatting>
  <conditionalFormatting sqref="Q18:Q19">
    <cfRule type="cellIs" dxfId="1631" priority="20" operator="greaterThan">
      <formula>1</formula>
    </cfRule>
    <cfRule type="cellIs" dxfId="1630" priority="21" operator="lessThan">
      <formula>0.8</formula>
    </cfRule>
  </conditionalFormatting>
  <conditionalFormatting sqref="R18:R19 AG18:AG19">
    <cfRule type="cellIs" dxfId="1629" priority="23" operator="lessThan">
      <formula>0.8</formula>
    </cfRule>
  </conditionalFormatting>
  <conditionalFormatting sqref="O55">
    <cfRule type="cellIs" dxfId="1628" priority="14" operator="greaterThan">
      <formula>0</formula>
    </cfRule>
  </conditionalFormatting>
  <conditionalFormatting sqref="P55 AE55">
    <cfRule type="cellIs" dxfId="1627" priority="17" operator="lessThan">
      <formula>0</formula>
    </cfRule>
  </conditionalFormatting>
  <conditionalFormatting sqref="Q55 AF55">
    <cfRule type="cellIs" dxfId="1626" priority="15" operator="greaterThan">
      <formula>1</formula>
    </cfRule>
    <cfRule type="cellIs" dxfId="1625" priority="16" operator="lessThan">
      <formula>0.8</formula>
    </cfRule>
  </conditionalFormatting>
  <conditionalFormatting sqref="R55 AG55">
    <cfRule type="cellIs" dxfId="1624" priority="18" operator="lessThan">
      <formula>0.8</formula>
    </cfRule>
  </conditionalFormatting>
  <conditionalFormatting sqref="O20">
    <cfRule type="cellIs" dxfId="1623" priority="9" operator="greaterThan">
      <formula>0</formula>
    </cfRule>
  </conditionalFormatting>
  <conditionalFormatting sqref="P20">
    <cfRule type="cellIs" dxfId="1622" priority="12" operator="lessThan">
      <formula>0</formula>
    </cfRule>
  </conditionalFormatting>
  <conditionalFormatting sqref="Q20">
    <cfRule type="cellIs" dxfId="1621" priority="10" operator="greaterThan">
      <formula>1</formula>
    </cfRule>
    <cfRule type="cellIs" dxfId="1620" priority="11" operator="lessThan">
      <formula>0.8</formula>
    </cfRule>
  </conditionalFormatting>
  <conditionalFormatting sqref="AG20 R20">
    <cfRule type="cellIs" dxfId="1619" priority="13" operator="lessThan">
      <formula>0.8</formula>
    </cfRule>
  </conditionalFormatting>
  <conditionalFormatting sqref="P8">
    <cfRule type="cellIs" dxfId="1618" priority="8" operator="lessThan">
      <formula>0</formula>
    </cfRule>
  </conditionalFormatting>
  <conditionalFormatting sqref="P21">
    <cfRule type="cellIs" dxfId="1617" priority="7" operator="lessThan">
      <formula>0</formula>
    </cfRule>
  </conditionalFormatting>
  <conditionalFormatting sqref="P28">
    <cfRule type="cellIs" dxfId="1616" priority="6" operator="lessThan">
      <formula>0</formula>
    </cfRule>
  </conditionalFormatting>
  <conditionalFormatting sqref="P34">
    <cfRule type="cellIs" dxfId="1615" priority="5" operator="lessThan">
      <formula>0</formula>
    </cfRule>
  </conditionalFormatting>
  <conditionalFormatting sqref="P45">
    <cfRule type="cellIs" dxfId="1614" priority="4" operator="lessThan">
      <formula>0</formula>
    </cfRule>
  </conditionalFormatting>
  <conditionalFormatting sqref="P53">
    <cfRule type="cellIs" dxfId="1613" priority="3" operator="lessThan">
      <formula>0</formula>
    </cfRule>
  </conditionalFormatting>
  <conditionalFormatting sqref="P58">
    <cfRule type="cellIs" dxfId="1612" priority="2" operator="lessThan">
      <formula>0</formula>
    </cfRule>
  </conditionalFormatting>
  <conditionalFormatting sqref="P64">
    <cfRule type="cellIs" dxfId="1611" priority="1" operator="lessThan">
      <formula>0</formula>
    </cfRule>
  </conditionalFormatting>
  <dataValidations count="1">
    <dataValidation type="list" allowBlank="1" showInputMessage="1" showErrorMessage="1" sqref="AB8 AA5:AB7 AA8:AA57 AB10:AB54 AA58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F17" sqref="F1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2106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186</v>
      </c>
      <c r="C3" s="601" t="str">
        <f>TEXT('0625 4度C'!A2,"yyyy.mm.ddaaaa")</f>
        <v>2026.06.25星期四</v>
      </c>
      <c r="D3" s="602"/>
      <c r="E3" s="39" t="s">
        <v>187</v>
      </c>
      <c r="F3" s="603">
        <f>'0625 4度C'!D1</f>
        <v>172653</v>
      </c>
      <c r="G3" s="604"/>
      <c r="H3" s="39" t="s">
        <v>2107</v>
      </c>
      <c r="I3" s="605">
        <f>'0625 4度C'!F1</f>
        <v>5813242.3600000013</v>
      </c>
      <c r="J3" s="606"/>
      <c r="K3" s="40"/>
      <c r="L3" s="41"/>
      <c r="M3" s="42"/>
      <c r="N3" s="42"/>
    </row>
    <row r="4" spans="2:17" ht="28.5" customHeight="1">
      <c r="B4" s="607" t="s">
        <v>2108</v>
      </c>
      <c r="C4" s="593" t="s">
        <v>2109</v>
      </c>
      <c r="D4" s="594"/>
      <c r="E4" s="610" t="s">
        <v>94</v>
      </c>
      <c r="F4" s="611"/>
      <c r="G4" s="610" t="s">
        <v>95</v>
      </c>
      <c r="H4" s="611"/>
      <c r="I4" s="610" t="s">
        <v>2110</v>
      </c>
      <c r="J4" s="611"/>
      <c r="K4" s="591" t="s">
        <v>97</v>
      </c>
      <c r="L4" s="592"/>
      <c r="M4" s="592" t="s">
        <v>2111</v>
      </c>
      <c r="N4" s="592"/>
    </row>
    <row r="5" spans="2:17" ht="28.5" customHeight="1">
      <c r="B5" s="608"/>
      <c r="C5" s="593" t="s">
        <v>195</v>
      </c>
      <c r="D5" s="594"/>
      <c r="E5" s="593" t="s">
        <v>291</v>
      </c>
      <c r="F5" s="594"/>
      <c r="G5" s="595" t="s">
        <v>100</v>
      </c>
      <c r="H5" s="596"/>
      <c r="I5" s="597" t="s">
        <v>101</v>
      </c>
      <c r="J5" s="598"/>
      <c r="K5" s="43" t="s">
        <v>2112</v>
      </c>
      <c r="L5" s="44" t="s">
        <v>2113</v>
      </c>
      <c r="M5" s="43" t="s">
        <v>199</v>
      </c>
      <c r="N5" s="44" t="s">
        <v>296</v>
      </c>
    </row>
    <row r="6" spans="2:17" ht="28.5" customHeight="1">
      <c r="B6" s="608"/>
      <c r="C6" s="593" t="s">
        <v>58</v>
      </c>
      <c r="D6" s="594"/>
      <c r="E6" s="585">
        <f>AVERAGE(D13:M13)</f>
        <v>153.86206611101326</v>
      </c>
      <c r="F6" s="586">
        <f>AVERAGE(D31:O31,D13:J13)</f>
        <v>160.8932476770205</v>
      </c>
      <c r="G6" s="587">
        <f>AVERAGE(D13:J13)</f>
        <v>160.8932476770205</v>
      </c>
      <c r="H6" s="588"/>
      <c r="I6" s="587">
        <f>AVERAGE(K13:M13)</f>
        <v>137.45597579032975</v>
      </c>
      <c r="J6" s="588"/>
      <c r="K6" s="589">
        <f>'0625 4度C'!Y2</f>
        <v>0</v>
      </c>
      <c r="L6" s="574">
        <f>'0625 4度C'!Z2</f>
        <v>0</v>
      </c>
      <c r="M6" s="590">
        <f>'0625 4度C'!AC2</f>
        <v>56</v>
      </c>
      <c r="N6" s="574">
        <f>'0625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147.53182468001674</v>
      </c>
      <c r="F7" s="578">
        <f>AVERAGE(D32:O32,D14:J14)</f>
        <v>154.51197613813341</v>
      </c>
      <c r="G7" s="579">
        <f>AVERAGE(D14:J14)</f>
        <v>154.51197613813341</v>
      </c>
      <c r="H7" s="580"/>
      <c r="I7" s="579">
        <f>AVERAGE(K14:M14)</f>
        <v>131.24480461107785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0.95842200235938968</v>
      </c>
      <c r="F8" s="582">
        <f>AVERAGE(D15:J15,D33:O33)</f>
        <v>0.95996790768739071</v>
      </c>
      <c r="G8" s="583">
        <f>AVERAGE(D15:J15)</f>
        <v>0.95996790768739071</v>
      </c>
      <c r="H8" s="584"/>
      <c r="I8" s="583">
        <f>AVERAGE(K15:M15)</f>
        <v>0.95481488992738717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104</v>
      </c>
      <c r="N9" s="42"/>
      <c r="O9" s="42"/>
      <c r="P9" s="42"/>
      <c r="Q9" s="42"/>
    </row>
    <row r="10" spans="2:17" ht="30" customHeight="1">
      <c r="B10" s="557" t="s">
        <v>2114</v>
      </c>
      <c r="C10" s="558"/>
      <c r="D10" s="559" t="s">
        <v>2115</v>
      </c>
      <c r="E10" s="560"/>
      <c r="F10" s="560"/>
      <c r="G10" s="560"/>
      <c r="H10" s="560"/>
      <c r="I10" s="560"/>
      <c r="J10" s="561"/>
      <c r="K10" s="562" t="s">
        <v>203</v>
      </c>
      <c r="L10" s="563"/>
      <c r="M10" s="564"/>
      <c r="P10" s="48"/>
      <c r="Q10" s="48"/>
    </row>
    <row r="11" spans="2:17" ht="17.25" customHeight="1">
      <c r="B11" s="565" t="s">
        <v>108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145</v>
      </c>
      <c r="C13" s="55" t="s">
        <v>2116</v>
      </c>
      <c r="D13" s="56">
        <f>SUMIFS('0625 4度C'!$K:$K,'0625 4度C'!$A:$A,"新豐6線",'0625 4度C'!$B:$B,"平均")</f>
        <v>130.43478260869566</v>
      </c>
      <c r="E13" s="57">
        <f>SUMIFS('0625 4度C'!$K:$K,'0625 4度C'!$A:$A,"新豐2線",'0625 4度C'!$B:$B,"平均")</f>
        <v>88.235294117647058</v>
      </c>
      <c r="F13" s="58">
        <f>SUMIFS('0625 4度C'!$K:$K,'0625 4度C'!$A:$A,"新豐5線",'0625 4度C'!$B:$B,"平均")</f>
        <v>87.786259541984734</v>
      </c>
      <c r="G13" s="58">
        <f>SUMIFS('0625 4度C'!$K:$K,'0625 4度C'!$A:$A,"新豐7線",'0625 4度C'!$B:$B,"平均")</f>
        <v>119.99999999999999</v>
      </c>
      <c r="H13" s="58">
        <f>SUMIFS('0625 4度C'!$K:$K,'0625 4度C'!$A:$A,"新豐3線",'0625 4度C'!$B:$B,"平均")</f>
        <v>255.81395348837211</v>
      </c>
      <c r="I13" s="58">
        <f>SUMIFS('0625 4度C'!$K:$K,'0625 4度C'!$A:$A,"新豐1線",'0625 4度C'!$B:$B,"平均")</f>
        <v>119.65811965811965</v>
      </c>
      <c r="J13" s="59">
        <f>SUMIFS('0625 4度C'!$K:$K,'0625 4度C'!$A:$A,"新豐10線",'0625 4度C'!$B:$B,"平均")</f>
        <v>324.32432432432432</v>
      </c>
      <c r="K13" s="60">
        <f>SUMIFS('0625 4度C'!$K:$K,'0625 4度C'!$A:$A,"新豐8線",'0625 4度C'!$B:$B,"平均")</f>
        <v>135.21126760563379</v>
      </c>
      <c r="L13" s="61">
        <f>SUMIFS('0625 4度C'!$K:$K,'0625 4度C'!$A:$A,"新豐9線",'0625 4度C'!$B:$B,"平均")</f>
        <v>120.63492063492065</v>
      </c>
      <c r="M13" s="59">
        <f>SUMIFS('0625 4度C'!$K:$K,'0625 4度C'!$A:$A,"新豐4線",'0625 4度C'!$B:$B,"平均")</f>
        <v>156.52173913043478</v>
      </c>
    </row>
    <row r="14" spans="2:17" ht="39.6" customHeight="1">
      <c r="B14" s="570"/>
      <c r="C14" s="62" t="s">
        <v>2117</v>
      </c>
      <c r="D14" s="63">
        <f>SUMIFS('0625 4度C'!$N:$N,'0625 4度C'!$A:$A,"新豐6線",'0625 4度C'!$B:$B,"平均")</f>
        <v>125.57071950016984</v>
      </c>
      <c r="E14" s="64">
        <f>SUMIFS('0625 4度C'!$N:$N,'0625 4度C'!$A:$A,"新豐2線",'0625 4度C'!$B:$B,"平均")</f>
        <v>84.199849601964658</v>
      </c>
      <c r="F14" s="64">
        <f>SUMIFS('0625 4度C'!$N:$N,'0625 4度C'!$A:$A,"新豐5線",'0625 4度C'!$B:$B,"平均")</f>
        <v>84.833152137145163</v>
      </c>
      <c r="G14" s="64">
        <f>SUMIFS('0625 4度C'!$N:$N,'0625 4度C'!$A:$A,"新豐7線",'0625 4度C'!$B:$B,"平均")</f>
        <v>114.86457266189001</v>
      </c>
      <c r="H14" s="64">
        <f>SUMIFS('0625 4度C'!$N:$N,'0625 4度C'!$A:$A,"新豐3線",'0625 4度C'!$B:$B,"平均")</f>
        <v>244.65394913587122</v>
      </c>
      <c r="I14" s="64">
        <f>SUMIFS('0625 4度C'!$N:$N,'0625 4度C'!$A:$A,"新豐1線",'0625 4度C'!$B:$B,"平均")</f>
        <v>114.69041782250801</v>
      </c>
      <c r="J14" s="65">
        <f>SUMIFS('0625 4度C'!$N:$N,'0625 4度C'!$A:$A,"新豐10線",'0625 4度C'!$B:$B,"平均")</f>
        <v>312.77117210738487</v>
      </c>
      <c r="K14" s="66">
        <f>SUMIFS('0625 4度C'!$N:$N,'0625 4度C'!$A:$A,"新豐8線",'0625 4度C'!$B:$B,"平均")</f>
        <v>129.24085439083848</v>
      </c>
      <c r="L14" s="67">
        <f>SUMIFS('0625 4度C'!$N:$N,'0625 4度C'!$A:$A,"新豐9線",'0625 4度C'!$B:$B,"平均")</f>
        <v>115.11240555236739</v>
      </c>
      <c r="M14" s="65">
        <f>SUMIFS('0625 4度C'!$N:$N,'0625 4度C'!$A:$A,"新豐4線",'0625 4度C'!$B:$B,"平均")</f>
        <v>149.38115389002775</v>
      </c>
    </row>
    <row r="15" spans="2:17" ht="40.15" customHeight="1">
      <c r="B15" s="571"/>
      <c r="C15" s="68" t="s">
        <v>2118</v>
      </c>
      <c r="D15" s="69">
        <f t="shared" ref="D15:M15" si="0">D14/D13</f>
        <v>0.96270884950130209</v>
      </c>
      <c r="E15" s="70">
        <f t="shared" si="0"/>
        <v>0.95426496215559942</v>
      </c>
      <c r="F15" s="70">
        <f t="shared" si="0"/>
        <v>0.96636025477965359</v>
      </c>
      <c r="G15" s="70">
        <f t="shared" si="0"/>
        <v>0.95720477218241684</v>
      </c>
      <c r="H15" s="70">
        <f t="shared" si="0"/>
        <v>0.95637452844022375</v>
      </c>
      <c r="I15" s="70">
        <f t="shared" si="0"/>
        <v>0.95848420608810281</v>
      </c>
      <c r="J15" s="71">
        <f t="shared" si="0"/>
        <v>0.96437778066443669</v>
      </c>
      <c r="K15" s="69">
        <f t="shared" si="0"/>
        <v>0.95584381893224302</v>
      </c>
      <c r="L15" s="70">
        <f t="shared" si="0"/>
        <v>0.9542212565525191</v>
      </c>
      <c r="M15" s="71">
        <f t="shared" si="0"/>
        <v>0.95437959429739949</v>
      </c>
    </row>
    <row r="16" spans="2:17" ht="17.25" customHeight="1">
      <c r="B16" s="572" t="s">
        <v>2119</v>
      </c>
      <c r="C16" s="72" t="s">
        <v>2120</v>
      </c>
      <c r="D16" s="73">
        <f>VLOOKUP("新豐6線",'0625 4度C'!$A:$T,19,0)</f>
        <v>0.70833333333333337</v>
      </c>
      <c r="E16" s="74">
        <f>VLOOKUP("新豐2線",'0625 4度C'!$A:$T,19,0)</f>
        <v>8.3333333333333329E-2</v>
      </c>
      <c r="F16" s="74">
        <f>VLOOKUP("新豐5線",'0625 4度C'!$A:$T,19,0)</f>
        <v>8.3333333333333329E-2</v>
      </c>
      <c r="G16" s="74">
        <f>VLOOKUP("新豐7線",'0625 4度C'!$A:$T,19,0)</f>
        <v>0.20833333333333334</v>
      </c>
      <c r="H16" s="74">
        <f>VLOOKUP("新豐3線",'0625 4度C'!$A:$T,19,0)</f>
        <v>8.3333333333333329E-2</v>
      </c>
      <c r="I16" s="74">
        <f>VLOOKUP("新豐1線",'0625 4度C'!$A:$T,19,0)</f>
        <v>0.16666666666666666</v>
      </c>
      <c r="J16" s="75">
        <f>VLOOKUP("新豐10線",'0625 4度C'!$A:$T,19,0)</f>
        <v>0.20833333333333334</v>
      </c>
      <c r="K16" s="76">
        <f>VLOOKUP("新豐8線",'0625 4度C'!$A:$T,19,0)</f>
        <v>8.3333333333333329E-2</v>
      </c>
      <c r="L16" s="77">
        <f>VLOOKUP("新豐9線",'0625 4度C'!$A:$T,19,0)</f>
        <v>8.3333333333333329E-2</v>
      </c>
      <c r="M16" s="78">
        <f>VLOOKUP("新豐4線",'0625 4度C'!$A:$T,19,0)</f>
        <v>8.3333333333333329E-2</v>
      </c>
    </row>
    <row r="17" spans="2:13" ht="17.25" customHeight="1">
      <c r="B17" s="573"/>
      <c r="C17" s="72" t="s">
        <v>2121</v>
      </c>
      <c r="D17" s="76">
        <f>LOOKUP(2,1/(('0625 4度C'!$A:$A="新豐6線")*('0625 4度C'!$T:$T&lt;&gt;"")),'0625 4度C'!$T:$T)</f>
        <v>0.81388888888888888</v>
      </c>
      <c r="E17" s="74">
        <f>LOOKUP(2,1/(('0625 4度C'!$A:$A="新豐2線")*('0625 4度C'!$T:$T&lt;&gt;"")),'0625 4度C'!$T:$T)</f>
        <v>0.63055555555555554</v>
      </c>
      <c r="F17" s="74">
        <f>LOOKUP(2,1/(('0625 4度C'!$A:$A="新豐5線")*('0625 4度C'!$T:$T&lt;&gt;"")),'0625 4度C'!$T:$T)</f>
        <v>0.78819444444444453</v>
      </c>
      <c r="G17" s="74">
        <f>LOOKUP(2,1/(('0625 4度C'!$A:$A="新豐7線")*('0625 4度C'!$T:$T&lt;&gt;"")),'0625 4度C'!$T:$T)</f>
        <v>0.79027777777777786</v>
      </c>
      <c r="H17" s="74">
        <f>LOOKUP(2,1/(('0625 4度C'!$A:$A="新豐3線")*('0625 4度C'!$T:$T&lt;&gt;"")),'0625 4度C'!$T:$T)</f>
        <v>0.3659722222222222</v>
      </c>
      <c r="I17" s="74">
        <f>LOOKUP(2,1/(('0625 4度C'!$A:$A="新豐1線")*('0625 4度C'!$T:$T&lt;&gt;"")),'0625 4度C'!$T:$T)</f>
        <v>0.81388888888888888</v>
      </c>
      <c r="J17" s="75">
        <f>LOOKUP(2,1/(('0625 4度C'!$A:$A="新豐10線")*('0625 4度C'!$T:$T&lt;&gt;"")),'0625 4度C'!$T:$T)</f>
        <v>0.37708333333333333</v>
      </c>
      <c r="K17" s="73">
        <f>LOOKUP(2,1/(('0625 4度C'!$A:$A="新豐8線")*('0625 4度C'!$T:$T&lt;&gt;"")),'0625 4度C'!$T:$T)</f>
        <v>0.71111111111111092</v>
      </c>
      <c r="L17" s="74">
        <f>LOOKUP(2,1/(('0625 4度C'!$A:$A="新豐9線")*('0625 4度C'!$T:$T&lt;&gt;"")),'0625 4度C'!$T:$T)</f>
        <v>0.69374999999999998</v>
      </c>
      <c r="M17" s="75">
        <f>LOOKUP(2,1/(('0625 4度C'!$A:$A="新豐4線")*('0625 4度C'!$T:$T&lt;&gt;"")),'0625 4度C'!$T:$T)</f>
        <v>0.62430555555555545</v>
      </c>
    </row>
    <row r="18" spans="2:13" ht="17.25" customHeight="1">
      <c r="B18" s="551" t="s">
        <v>391</v>
      </c>
      <c r="C18" s="79" t="s">
        <v>2122</v>
      </c>
      <c r="D18" s="80">
        <f>SUMIFS('0625 4度C'!$Y:$Y,'0625 4度C'!$A:$A,"新豐6線",'0625 4度C'!$B:$B,"平均")</f>
        <v>0</v>
      </c>
      <c r="E18" s="81">
        <f>SUMIFS('0625 4度C'!$Y:$Y,'0625 4度C'!$A:$A,"新豐2線",'0625 4度C'!$B:$B,"平均")</f>
        <v>0</v>
      </c>
      <c r="F18" s="81">
        <f>SUMIFS('0625 4度C'!$Y:$Y,'0625 4度C'!$A:$A,"新豐5線",'0625 4度C'!$B:$B,"平均")</f>
        <v>0</v>
      </c>
      <c r="G18" s="81">
        <f>SUMIFS('0625 4度C'!$Y:$Y,'0625 4度C'!$A:$A,"新豐7線",'0625 4度C'!$B:$B,"平均")</f>
        <v>0</v>
      </c>
      <c r="H18" s="81">
        <f>SUMIFS('0625 4度C'!$Y:$Y,'0625 4度C'!$A:$A,"新豐3線",'0625 4度C'!$B:$B,"平均")</f>
        <v>0</v>
      </c>
      <c r="I18" s="81">
        <f>SUMIFS('0625 4度C'!$Y:$Y,'0625 4度C'!$A:$A,"新豐1線",'0625 4度C'!$B:$B,"平均")</f>
        <v>0</v>
      </c>
      <c r="J18" s="82">
        <f>SUMIFS('0625 4度C'!$Y:$Y,'0625 4度C'!$A:$A,"新豐10線",'0625 4度C'!$B:$B,"平均")</f>
        <v>0</v>
      </c>
      <c r="K18" s="83">
        <f>SUMIFS('0625 4度C'!$Y:$Y,'0625 4度C'!$A:$A,"新豐8線",'0625 4度C'!$B:$B,"平均")</f>
        <v>0</v>
      </c>
      <c r="L18" s="81">
        <f>SUMIFS('0625 4度C'!$Y:$Y,'0625 4度C'!$A:$A,"新豐9線",'0625 4度C'!$B:$B,"平均")</f>
        <v>0</v>
      </c>
      <c r="M18" s="82">
        <f>SUMIFS('0625 4度C'!$Y:$Y,'0625 4度C'!$A:$A,"新豐4線",'0625 4度C'!$B:$B,"平均")</f>
        <v>0</v>
      </c>
    </row>
    <row r="19" spans="2:13" ht="17.25" customHeight="1">
      <c r="B19" s="552"/>
      <c r="C19" s="79" t="s">
        <v>2123</v>
      </c>
      <c r="D19" s="80">
        <f>SUMIFS('0625 4度C'!$Z:$Z,'0625 4度C'!$A:$A,"新豐6線",'0625 4度C'!$B:$B,"平均")</f>
        <v>0</v>
      </c>
      <c r="E19" s="81">
        <f>SUMIFS('0625 4度C'!$Z:$Z,'0625 4度C'!$A:$A,"新豐2線",'0625 4度C'!$B:$B,"平均")</f>
        <v>0</v>
      </c>
      <c r="F19" s="81">
        <f>SUMIFS('0625 4度C'!$Z:$Z,'0625 4度C'!$A:$A,"新豐5線",'0625 4度C'!$B:$B,"平均")</f>
        <v>0</v>
      </c>
      <c r="G19" s="81">
        <f>SUMIFS('0625 4度C'!$Z:$Z,'0625 4度C'!$A:$A,"新豐7線",'0625 4度C'!$B:$B,"平均")</f>
        <v>0</v>
      </c>
      <c r="H19" s="81">
        <f>SUMIFS('0625 4度C'!$Z:$Z,'0625 4度C'!$A:$A,"新豐3線",'0625 4度C'!$B:$B,"平均")</f>
        <v>0</v>
      </c>
      <c r="I19" s="81">
        <f>SUMIFS('0625 4度C'!$Z:$Z,'0625 4度C'!$A:$A,"新豐1線",'0625 4度C'!$B:$B,"平均")</f>
        <v>0</v>
      </c>
      <c r="J19" s="82">
        <f>SUMIFS('0625 4度C'!$Z:$Z,'0625 4度C'!$A:$A,"新豐10線",'0625 4度C'!$B:$B,"平均")</f>
        <v>0</v>
      </c>
      <c r="K19" s="83">
        <f>SUMIFS('0625 4度C'!$Z:$Z,'0625 4度C'!$A:$A,"新豐8線",'0625 4度C'!$B:$B,"平均")</f>
        <v>0</v>
      </c>
      <c r="L19" s="81">
        <f>SUMIFS('0625 4度C'!$Z:$Z,'0625 4度C'!$A:$A,"新豐9線",'0625 4度C'!$B:$B,"平均")</f>
        <v>0</v>
      </c>
      <c r="M19" s="82">
        <f>SUMIFS('0625 4度C'!$Z:$Z,'0625 4度C'!$A:$A,"新豐4線",'0625 4度C'!$B:$B,"平均")</f>
        <v>0</v>
      </c>
    </row>
    <row r="20" spans="2:13" ht="17.25" customHeight="1">
      <c r="B20" s="551" t="s">
        <v>2124</v>
      </c>
      <c r="C20" s="79" t="s">
        <v>2125</v>
      </c>
      <c r="D20" s="80">
        <f>SUMIFS('0625 4度C'!$AC:$AC,'0625 4度C'!$A:$A,"新豐6線",'0625 4度C'!$B:$B,"平均")</f>
        <v>3</v>
      </c>
      <c r="E20" s="81">
        <f>SUMIFS('0625 4度C'!$AC:$AC,'0625 4度C'!$A:$A,"新豐2線",'0625 4度C'!$B:$B,"平均")</f>
        <v>4</v>
      </c>
      <c r="F20" s="81">
        <f>SUMIFS('0625 4度C'!$AC:$AC,'0625 4度C'!$A:$A,"新豐5線",'0625 4度C'!$B:$B,"平均")</f>
        <v>7</v>
      </c>
      <c r="G20" s="81">
        <f>SUMIFS('0625 4度C'!$AC:$AC,'0625 4度C'!$A:$A,"新豐7線",'0625 4度C'!$B:$B,"平均")</f>
        <v>6</v>
      </c>
      <c r="H20" s="81">
        <f>SUMIFS('0625 4度C'!$AC:$AC,'0625 4度C'!$A:$A,"新豐3線",'0625 4度C'!$B:$B,"平均")</f>
        <v>4</v>
      </c>
      <c r="I20" s="81">
        <f>SUMIFS('0625 4度C'!$AC:$AC,'0625 4度C'!$A:$A,"新豐1線",'0625 4度C'!$B:$B,"平均")</f>
        <v>7</v>
      </c>
      <c r="J20" s="82">
        <f>SUMIFS('0625 4度C'!$AC:$AC,'0625 4度C'!$A:$A,"新豐10線",'0625 4度C'!$B:$B,"平均")</f>
        <v>4</v>
      </c>
      <c r="K20" s="83">
        <f>SUMIFS('0625 4度C'!$AC:$AC,'0625 4度C'!$A:$A,"新豐8線",'0625 4度C'!$B:$B,"平均")</f>
        <v>8</v>
      </c>
      <c r="L20" s="81">
        <f>SUMIFS('0625 4度C'!$AC:$AC,'0625 4度C'!$A:$A,"新豐9線",'0625 4度C'!$B:$B,"平均")</f>
        <v>7</v>
      </c>
      <c r="M20" s="82">
        <f>SUMIFS('0625 4度C'!$AC:$AC,'0625 4度C'!$A:$A,"新豐4線",'0625 4度C'!$B:$B,"平均")</f>
        <v>6</v>
      </c>
    </row>
    <row r="21" spans="2:13" ht="17.25" customHeight="1">
      <c r="B21" s="552"/>
      <c r="C21" s="79" t="s">
        <v>312</v>
      </c>
      <c r="D21" s="80">
        <f>SUMIFS('0625 4度C'!$AD:$AD,'0625 4度C'!$A:$A,"新豐6線",'0625 4度C'!$B:$B,"平均")</f>
        <v>0</v>
      </c>
      <c r="E21" s="81">
        <f>SUMIFS('0625 4度C'!$AD:$AD,'0625 4度C'!$A:$A,"新豐2線",'0625 4度C'!$B:$B,"平均")</f>
        <v>0</v>
      </c>
      <c r="F21" s="81">
        <f>SUMIFS('0625 4度C'!$AD:$AD,'0625 4度C'!$A:$A,"新豐5線",'0625 4度C'!$B:$B,"平均")</f>
        <v>0</v>
      </c>
      <c r="G21" s="81">
        <f>SUMIFS('0625 4度C'!$AD:$AD,'0625 4度C'!$A:$A,"新豐7線",'0625 4度C'!$B:$B,"平均")</f>
        <v>0</v>
      </c>
      <c r="H21" s="81">
        <f>SUMIFS('0625 4度C'!$AD:$AD,'0625 4度C'!$A:$A,"新豐3線",'0625 4度C'!$B:$B,"平均")</f>
        <v>0</v>
      </c>
      <c r="I21" s="81">
        <f>SUMIFS('0625 4度C'!$AD:$AD,'0625 4度C'!$A:$A,"新豐1線",'0625 4度C'!$B:$B,"平均")</f>
        <v>0</v>
      </c>
      <c r="J21" s="82">
        <f>SUMIFS('0625 4度C'!$AD:$AD,'0625 4度C'!$A:$A,"新豐10線",'0625 4度C'!$B:$B,"平均")</f>
        <v>0</v>
      </c>
      <c r="K21" s="83">
        <f>SUMIFS('0625 4度C'!$AD:$AD,'0625 4度C'!$A:$A,"新豐8線",'0625 4度C'!$B:$B,"平均")</f>
        <v>0</v>
      </c>
      <c r="L21" s="81">
        <f>SUMIFS('0625 4度C'!$AD:$AD,'0625 4度C'!$A:$A,"新豐9線",'0625 4度C'!$B:$B,"平均")</f>
        <v>0</v>
      </c>
      <c r="M21" s="82">
        <f>SUMIFS('0625 4度C'!$AD:$AD,'0625 4度C'!$A:$A,"新豐4線",'0625 4度C'!$B:$B,"平均")</f>
        <v>0</v>
      </c>
    </row>
    <row r="22" spans="2:13" ht="17.25" customHeight="1">
      <c r="B22" s="553" t="s">
        <v>2126</v>
      </c>
      <c r="C22" s="554"/>
      <c r="D22" s="84">
        <f>SUMIFS('0625 4度C'!$I:$I,'0625 4度C'!$A:$A,"新豐6線",'0625 4度C'!$B:$B,"平均")</f>
        <v>15.333333333333334</v>
      </c>
      <c r="E22" s="85">
        <f>SUMIFS('0625 4度C'!$I:$I,'0625 4度C'!$A:$A,"新豐2線",'0625 4度C'!$B:$B,"平均")</f>
        <v>17</v>
      </c>
      <c r="F22" s="85">
        <f>SUMIFS('0625 4度C'!$I:$I,'0625 4度C'!$A:$A,"新豐5線",'0625 4度C'!$B:$B,"平均")</f>
        <v>18.714285714285715</v>
      </c>
      <c r="G22" s="85">
        <f>SUMIFS('0625 4度C'!$I:$I,'0625 4度C'!$A:$A,"新豐7線",'0625 4度C'!$B:$B,"平均")</f>
        <v>16.666666666666668</v>
      </c>
      <c r="H22" s="85">
        <f>SUMIFS('0625 4度C'!$I:$I,'0625 4度C'!$A:$A,"新豐3線",'0625 4度C'!$B:$B,"平均")</f>
        <v>10.75</v>
      </c>
      <c r="I22" s="85">
        <f>SUMIFS('0625 4度C'!$I:$I,'0625 4度C'!$A:$A,"新豐1線",'0625 4度C'!$B:$B,"平均")</f>
        <v>16.714285714285715</v>
      </c>
      <c r="J22" s="86">
        <f>SUMIFS('0625 4度C'!$I:$I,'0625 4度C'!$A:$A,"新豐10線",'0625 4度C'!$B:$B,"平均")</f>
        <v>9.25</v>
      </c>
      <c r="K22" s="84">
        <f>SUMIFS('0625 4度C'!$I:$I,'0625 4度C'!$A:$A,"新豐8線",'0625 4度C'!$B:$B,"平均")</f>
        <v>17.75</v>
      </c>
      <c r="L22" s="85">
        <f>SUMIFS('0625 4度C'!$I:$I,'0625 4度C'!$A:$A,"新豐9線",'0625 4度C'!$B:$B,"平均")</f>
        <v>18</v>
      </c>
      <c r="M22" s="86">
        <f>SUMIFS('0625 4度C'!$I:$I,'0625 4度C'!$A:$A,"新豐4線",'0625 4度C'!$B:$B,"平均")</f>
        <v>15.333333333333334</v>
      </c>
    </row>
    <row r="23" spans="2:13" ht="17.25" customHeight="1">
      <c r="B23" s="553" t="s">
        <v>2127</v>
      </c>
      <c r="C23" s="554"/>
      <c r="D23" s="87" t="s">
        <v>71</v>
      </c>
      <c r="E23" s="88" t="s">
        <v>72</v>
      </c>
      <c r="F23" s="88" t="s">
        <v>2128</v>
      </c>
      <c r="G23" s="88" t="s">
        <v>2128</v>
      </c>
      <c r="H23" s="88" t="s">
        <v>73</v>
      </c>
      <c r="I23" s="88" t="s">
        <v>71</v>
      </c>
      <c r="J23" s="89" t="s">
        <v>73</v>
      </c>
      <c r="K23" s="87" t="s">
        <v>2129</v>
      </c>
      <c r="L23" s="88" t="s">
        <v>219</v>
      </c>
      <c r="M23" s="89" t="s">
        <v>219</v>
      </c>
    </row>
    <row r="24" spans="2:13" ht="17.25" customHeight="1">
      <c r="B24" s="553" t="s">
        <v>2130</v>
      </c>
      <c r="C24" s="554"/>
      <c r="D24" s="87"/>
      <c r="E24" s="88"/>
      <c r="F24" s="88" t="s">
        <v>2131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2132</v>
      </c>
      <c r="C25" s="556"/>
      <c r="D25" s="90"/>
      <c r="E25" s="91" t="s">
        <v>2133</v>
      </c>
      <c r="F25" s="549" t="s">
        <v>2134</v>
      </c>
      <c r="G25" s="550"/>
      <c r="H25" s="91" t="s">
        <v>2135</v>
      </c>
      <c r="I25" s="91" t="s">
        <v>2136</v>
      </c>
      <c r="J25" s="92" t="s">
        <v>2135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61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1"/>
  <sheetViews>
    <sheetView zoomScale="80" zoomScaleNormal="80" workbookViewId="0">
      <pane ySplit="4" topLeftCell="A14" activePane="bottomLeft" state="frozen"/>
      <selection activeCell="M32" sqref="M32"/>
      <selection pane="bottomLeft" activeCell="F17" sqref="F17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96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2137</v>
      </c>
      <c r="B1" s="1"/>
      <c r="C1" s="2" t="s">
        <v>2138</v>
      </c>
      <c r="D1" s="3">
        <f>SUM(F5:F70)</f>
        <v>172653</v>
      </c>
      <c r="E1" s="445" t="s">
        <v>2139</v>
      </c>
      <c r="F1" s="1">
        <f>SUM(G5:G70)</f>
        <v>5813242.3600000013</v>
      </c>
      <c r="G1" s="1" t="s">
        <v>2140</v>
      </c>
      <c r="H1" s="4">
        <f>L8+L13+L50+L58+L21+L63+L37+L45+L28+L70</f>
        <v>155.51190476190476</v>
      </c>
      <c r="I1" s="663" t="s">
        <v>2141</v>
      </c>
      <c r="J1" s="663"/>
      <c r="K1" s="663"/>
      <c r="L1" s="663" t="s">
        <v>2142</v>
      </c>
      <c r="M1" s="663"/>
      <c r="N1" s="663"/>
      <c r="O1" s="663" t="s">
        <v>2143</v>
      </c>
      <c r="P1" s="663"/>
      <c r="Q1" s="663"/>
      <c r="R1" s="663"/>
      <c r="S1" s="663" t="s">
        <v>2144</v>
      </c>
      <c r="T1" s="663"/>
      <c r="U1" s="663"/>
      <c r="V1" s="663"/>
      <c r="W1" s="663"/>
      <c r="X1" s="663"/>
      <c r="Y1" s="5" t="s">
        <v>2145</v>
      </c>
      <c r="Z1" s="6" t="s">
        <v>2146</v>
      </c>
      <c r="AA1" s="664" t="s">
        <v>2147</v>
      </c>
      <c r="AB1" s="664"/>
      <c r="AC1" s="94" t="s">
        <v>2145</v>
      </c>
      <c r="AD1" s="6" t="s">
        <v>2148</v>
      </c>
      <c r="AE1" s="663" t="s">
        <v>2149</v>
      </c>
      <c r="AF1" s="665"/>
      <c r="AG1" s="665"/>
    </row>
    <row r="2" spans="1:33" ht="26.25" customHeight="1">
      <c r="A2" s="27">
        <v>46198</v>
      </c>
      <c r="B2" s="28" t="s">
        <v>418</v>
      </c>
      <c r="C2" s="2" t="s">
        <v>2150</v>
      </c>
      <c r="D2" s="8">
        <f>AVERAGE(N8,N13,N50,N58,N21,N63,N28,N37,N45,N70)</f>
        <v>147.53182468001671</v>
      </c>
      <c r="E2" s="9" t="s">
        <v>0</v>
      </c>
      <c r="F2" s="10">
        <f>F1/D1</f>
        <v>33.670091802633031</v>
      </c>
      <c r="G2" s="1" t="s">
        <v>2151</v>
      </c>
      <c r="H2" s="458">
        <f>COUNT(H5:H70)</f>
        <v>7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SUM(Y8+Y13+Y21+Y28+Y37+Y45+Y50+Y58+Y63+Y70)</f>
        <v>0</v>
      </c>
      <c r="Z2" s="11">
        <f>SUM(Z8+Z13+Z21+Z28+Z37+Z45+Z50+Z58+Z63+Z70)</f>
        <v>0</v>
      </c>
      <c r="AA2" s="664"/>
      <c r="AB2" s="664"/>
      <c r="AC2" s="95">
        <v>56</v>
      </c>
      <c r="AD2" s="11">
        <f>SUM(AD8+AD13+AD21+AD28+AD37+AD45+AD50+AD58+AD63+AD70)</f>
        <v>0</v>
      </c>
      <c r="AE2" s="665"/>
      <c r="AF2" s="665"/>
      <c r="AG2" s="665"/>
    </row>
    <row r="3" spans="1:33" ht="40.5" customHeight="1">
      <c r="A3" s="617" t="s">
        <v>2152</v>
      </c>
      <c r="B3" s="445" t="s">
        <v>2153</v>
      </c>
      <c r="C3" s="617" t="s">
        <v>2154</v>
      </c>
      <c r="D3" s="617"/>
      <c r="E3" s="661" t="s">
        <v>2155</v>
      </c>
      <c r="F3" s="617" t="s">
        <v>2156</v>
      </c>
      <c r="G3" s="661" t="s">
        <v>2157</v>
      </c>
      <c r="H3" s="654" t="s">
        <v>2158</v>
      </c>
      <c r="I3" s="652" t="s">
        <v>2159</v>
      </c>
      <c r="J3" s="649" t="s">
        <v>2160</v>
      </c>
      <c r="K3" s="659" t="s">
        <v>2150</v>
      </c>
      <c r="L3" s="652" t="s">
        <v>2159</v>
      </c>
      <c r="M3" s="649" t="s">
        <v>2160</v>
      </c>
      <c r="N3" s="659" t="s">
        <v>2150</v>
      </c>
      <c r="O3" s="652" t="s">
        <v>2159</v>
      </c>
      <c r="P3" s="659" t="s">
        <v>2150</v>
      </c>
      <c r="Q3" s="650" t="s">
        <v>2161</v>
      </c>
      <c r="R3" s="630" t="s">
        <v>2162</v>
      </c>
      <c r="S3" s="660" t="s">
        <v>1</v>
      </c>
      <c r="T3" s="660"/>
      <c r="U3" s="654" t="s">
        <v>2</v>
      </c>
      <c r="V3" s="654" t="s">
        <v>2163</v>
      </c>
      <c r="W3" s="617" t="s">
        <v>2164</v>
      </c>
      <c r="X3" s="617"/>
      <c r="Y3" s="655" t="s">
        <v>2165</v>
      </c>
      <c r="Z3" s="614"/>
      <c r="AA3" s="656" t="s">
        <v>2166</v>
      </c>
      <c r="AB3" s="657"/>
      <c r="AC3" s="655" t="s">
        <v>2167</v>
      </c>
      <c r="AD3" s="614"/>
      <c r="AE3" s="649" t="s">
        <v>2168</v>
      </c>
      <c r="AF3" s="650" t="s">
        <v>2161</v>
      </c>
      <c r="AG3" s="630" t="s">
        <v>2169</v>
      </c>
    </row>
    <row r="4" spans="1:33" ht="15.75" customHeight="1">
      <c r="A4" s="617"/>
      <c r="B4" s="445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457" t="s">
        <v>3</v>
      </c>
      <c r="T4" s="457" t="s">
        <v>4</v>
      </c>
      <c r="U4" s="654"/>
      <c r="V4" s="654"/>
      <c r="W4" s="445" t="s">
        <v>2170</v>
      </c>
      <c r="X4" s="445" t="s">
        <v>2171</v>
      </c>
      <c r="Y4" s="447" t="s">
        <v>2172</v>
      </c>
      <c r="Z4" s="447" t="s">
        <v>2123</v>
      </c>
      <c r="AA4" s="658"/>
      <c r="AB4" s="657"/>
      <c r="AC4" s="447" t="s">
        <v>2173</v>
      </c>
      <c r="AD4" s="447" t="s">
        <v>2174</v>
      </c>
      <c r="AE4" s="649"/>
      <c r="AF4" s="650"/>
      <c r="AG4" s="630"/>
    </row>
    <row r="5" spans="1:33">
      <c r="A5" s="651" t="s">
        <v>2175</v>
      </c>
      <c r="B5" s="29" t="s">
        <v>15</v>
      </c>
      <c r="C5" s="653" t="s">
        <v>17</v>
      </c>
      <c r="D5" s="653"/>
      <c r="E5" s="29">
        <v>50.67</v>
      </c>
      <c r="F5" s="457">
        <v>1055</v>
      </c>
      <c r="G5" s="445">
        <f t="shared" ref="G5:G7" si="0">E5*F5</f>
        <v>53456.85</v>
      </c>
      <c r="H5" s="33" t="s">
        <v>57</v>
      </c>
      <c r="I5" s="455">
        <v>15</v>
      </c>
      <c r="J5" s="31">
        <v>2000</v>
      </c>
      <c r="K5" s="12">
        <f t="shared" ref="K5:K68" si="1">J5/I5</f>
        <v>133.33333333333334</v>
      </c>
      <c r="L5" s="455">
        <v>15</v>
      </c>
      <c r="M5" s="13">
        <f t="shared" ref="M5:M7" si="2">F5/V5*60</f>
        <v>1918.1818181818157</v>
      </c>
      <c r="N5" s="12">
        <f t="shared" ref="N5:N68" si="3">M5/L5</f>
        <v>127.87878787878772</v>
      </c>
      <c r="O5" s="14">
        <f t="shared" ref="O5:O68" si="4">L5-I5</f>
        <v>0</v>
      </c>
      <c r="P5" s="15">
        <f t="shared" ref="P5:P68" si="5">N5-K5</f>
        <v>-5.4545454545456238</v>
      </c>
      <c r="Q5" s="444">
        <f t="shared" ref="Q5:Q68" si="6">N5/K5</f>
        <v>0.95909090909090777</v>
      </c>
      <c r="R5" s="615">
        <f>Q8</f>
        <v>0.96270884950130209</v>
      </c>
      <c r="S5" s="34">
        <v>0.70833333333333337</v>
      </c>
      <c r="T5" s="34">
        <v>0.73125000000000007</v>
      </c>
      <c r="U5" s="445"/>
      <c r="V5" s="456">
        <f t="shared" ref="V5:V7" si="7">(T5-S5)*24*60</f>
        <v>33.000000000000043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7" si="8">M5-J5</f>
        <v>-81.818181818184257</v>
      </c>
      <c r="AF5" s="444">
        <f t="shared" ref="AF5:AF68" si="9">M5/J5</f>
        <v>0.95909090909090788</v>
      </c>
      <c r="AG5" s="615">
        <f>AF8</f>
        <v>0.9627088495013022</v>
      </c>
    </row>
    <row r="6" spans="1:33">
      <c r="A6" s="652" t="s">
        <v>2176</v>
      </c>
      <c r="B6" s="29" t="s">
        <v>15</v>
      </c>
      <c r="C6" s="653" t="s">
        <v>26</v>
      </c>
      <c r="D6" s="653"/>
      <c r="E6" s="29">
        <v>50.92</v>
      </c>
      <c r="F6" s="457">
        <v>1730</v>
      </c>
      <c r="G6" s="445">
        <f t="shared" si="0"/>
        <v>88091.6</v>
      </c>
      <c r="H6" s="33" t="s">
        <v>57</v>
      </c>
      <c r="I6" s="455">
        <v>15</v>
      </c>
      <c r="J6" s="31">
        <v>2000</v>
      </c>
      <c r="K6" s="12">
        <f t="shared" si="1"/>
        <v>133.33333333333334</v>
      </c>
      <c r="L6" s="455">
        <v>15</v>
      </c>
      <c r="M6" s="13">
        <f t="shared" si="2"/>
        <v>1922.2222222222231</v>
      </c>
      <c r="N6" s="12">
        <f t="shared" si="3"/>
        <v>128.14814814814821</v>
      </c>
      <c r="O6" s="14">
        <f t="shared" si="4"/>
        <v>0</v>
      </c>
      <c r="P6" s="15">
        <f t="shared" si="5"/>
        <v>-5.1851851851851336</v>
      </c>
      <c r="Q6" s="444">
        <f t="shared" si="6"/>
        <v>0.96111111111111147</v>
      </c>
      <c r="R6" s="615"/>
      <c r="S6" s="34">
        <v>0.73611111111111116</v>
      </c>
      <c r="T6" s="34">
        <v>0.77361111111111114</v>
      </c>
      <c r="U6" s="445">
        <f t="shared" ref="U6:U7" si="10">IF(S6=TIME(17,0,0),"",(S6-T5)*24*60)</f>
        <v>6.9999999999999751</v>
      </c>
      <c r="V6" s="456">
        <f t="shared" si="7"/>
        <v>53.999999999999972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-77.777777777776919</v>
      </c>
      <c r="AF6" s="444">
        <f t="shared" si="9"/>
        <v>0.96111111111111158</v>
      </c>
      <c r="AG6" s="615"/>
    </row>
    <row r="7" spans="1:33">
      <c r="A7" s="652" t="s">
        <v>2176</v>
      </c>
      <c r="B7" s="29" t="s">
        <v>15</v>
      </c>
      <c r="C7" s="644" t="s">
        <v>31</v>
      </c>
      <c r="D7" s="645"/>
      <c r="E7" s="29">
        <v>50.98</v>
      </c>
      <c r="F7" s="457">
        <v>1710</v>
      </c>
      <c r="G7" s="445">
        <f t="shared" si="0"/>
        <v>87175.799999999988</v>
      </c>
      <c r="H7" s="33" t="s">
        <v>57</v>
      </c>
      <c r="I7" s="455">
        <v>16</v>
      </c>
      <c r="J7" s="31">
        <v>2000</v>
      </c>
      <c r="K7" s="12">
        <f t="shared" si="1"/>
        <v>125</v>
      </c>
      <c r="L7" s="455">
        <v>16</v>
      </c>
      <c r="M7" s="13">
        <f t="shared" si="2"/>
        <v>1935.8490566037747</v>
      </c>
      <c r="N7" s="12">
        <f t="shared" si="3"/>
        <v>120.99056603773592</v>
      </c>
      <c r="O7" s="14">
        <f t="shared" si="4"/>
        <v>0</v>
      </c>
      <c r="P7" s="15">
        <f t="shared" si="5"/>
        <v>-4.0094339622640831</v>
      </c>
      <c r="Q7" s="444">
        <f t="shared" si="6"/>
        <v>0.96792452830188735</v>
      </c>
      <c r="R7" s="615"/>
      <c r="S7" s="34">
        <v>0.77708333333333335</v>
      </c>
      <c r="T7" s="34">
        <v>0.81388888888888888</v>
      </c>
      <c r="U7" s="445">
        <f t="shared" si="10"/>
        <v>4.9999999999999822</v>
      </c>
      <c r="V7" s="456">
        <f t="shared" si="7"/>
        <v>52.999999999999972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-64.15094339622533</v>
      </c>
      <c r="AF7" s="444">
        <f t="shared" si="9"/>
        <v>0.96792452830188735</v>
      </c>
      <c r="AG7" s="615"/>
    </row>
    <row r="8" spans="1:33">
      <c r="A8" s="652" t="s">
        <v>2177</v>
      </c>
      <c r="B8" s="29" t="s">
        <v>2178</v>
      </c>
      <c r="C8" s="618"/>
      <c r="D8" s="618"/>
      <c r="E8" s="446"/>
      <c r="F8" s="30"/>
      <c r="G8" s="12"/>
      <c r="H8" s="457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1925.4176990026044</v>
      </c>
      <c r="N8" s="12">
        <f t="shared" si="3"/>
        <v>125.57071950016984</v>
      </c>
      <c r="O8" s="14">
        <f t="shared" si="4"/>
        <v>0</v>
      </c>
      <c r="P8" s="15">
        <f t="shared" si="5"/>
        <v>-4.8640631085258121</v>
      </c>
      <c r="Q8" s="444">
        <f t="shared" si="6"/>
        <v>0.96270884950130209</v>
      </c>
      <c r="R8" s="615"/>
      <c r="S8" s="34"/>
      <c r="T8" s="34"/>
      <c r="U8" s="445"/>
      <c r="V8" s="456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-74.582300997395578</v>
      </c>
      <c r="AF8" s="444">
        <f t="shared" si="9"/>
        <v>0.9627088495013022</v>
      </c>
      <c r="AG8" s="615"/>
    </row>
    <row r="9" spans="1:33" ht="15.75" customHeight="1">
      <c r="A9" s="648" t="s">
        <v>2179</v>
      </c>
      <c r="B9" s="29" t="s">
        <v>19</v>
      </c>
      <c r="C9" s="644" t="s">
        <v>20</v>
      </c>
      <c r="D9" s="645"/>
      <c r="E9" s="29">
        <v>39.619999999999997</v>
      </c>
      <c r="F9" s="457">
        <v>4880</v>
      </c>
      <c r="G9" s="445">
        <f t="shared" ref="G9:G12" si="11">E9*F9</f>
        <v>193345.59999999998</v>
      </c>
      <c r="H9" s="33" t="s">
        <v>57</v>
      </c>
      <c r="I9" s="455">
        <v>19</v>
      </c>
      <c r="J9" s="31">
        <v>1500</v>
      </c>
      <c r="K9" s="12">
        <f t="shared" si="1"/>
        <v>78.94736842105263</v>
      </c>
      <c r="L9" s="455">
        <v>19</v>
      </c>
      <c r="M9" s="13">
        <f t="shared" ref="M9:M12" si="12">F9/V9*60</f>
        <v>1428.2926829268292</v>
      </c>
      <c r="N9" s="12">
        <f t="shared" si="3"/>
        <v>75.17329910141207</v>
      </c>
      <c r="O9" s="14">
        <f t="shared" si="4"/>
        <v>0</v>
      </c>
      <c r="P9" s="15">
        <f t="shared" si="5"/>
        <v>-3.7740693196405601</v>
      </c>
      <c r="Q9" s="444">
        <f t="shared" si="6"/>
        <v>0.95219512195121958</v>
      </c>
      <c r="R9" s="615">
        <f>Q13</f>
        <v>0.95426496215559942</v>
      </c>
      <c r="S9" s="34">
        <v>8.3333333333333329E-2</v>
      </c>
      <c r="T9" s="34">
        <v>0.22569444444444442</v>
      </c>
      <c r="U9" s="445"/>
      <c r="V9" s="456">
        <f t="shared" ref="V9:V12" si="13">(T9-S9)*24*60</f>
        <v>205</v>
      </c>
      <c r="W9" s="16">
        <f>T9</f>
        <v>0.22569444444444442</v>
      </c>
      <c r="X9" s="16">
        <f>S10</f>
        <v>0.24513888888888888</v>
      </c>
      <c r="Y9" s="16"/>
      <c r="Z9" s="16"/>
      <c r="AA9" s="617"/>
      <c r="AB9" s="617"/>
      <c r="AC9" s="35">
        <v>4</v>
      </c>
      <c r="AD9" s="18"/>
      <c r="AE9" s="14">
        <f t="shared" si="8"/>
        <v>-71.707317073170771</v>
      </c>
      <c r="AF9" s="444">
        <f t="shared" si="9"/>
        <v>0.95219512195121947</v>
      </c>
      <c r="AG9" s="615">
        <f>AF13</f>
        <v>0.95426496215559942</v>
      </c>
    </row>
    <row r="10" spans="1:33" ht="15.75" customHeight="1">
      <c r="A10" s="648" t="s">
        <v>2179</v>
      </c>
      <c r="B10" s="29" t="s">
        <v>19</v>
      </c>
      <c r="C10" s="644" t="s">
        <v>83</v>
      </c>
      <c r="D10" s="645"/>
      <c r="E10" s="29">
        <v>39.46</v>
      </c>
      <c r="F10" s="457">
        <v>4429</v>
      </c>
      <c r="G10" s="445">
        <f t="shared" si="11"/>
        <v>174768.34</v>
      </c>
      <c r="H10" s="33" t="s">
        <v>57</v>
      </c>
      <c r="I10" s="455">
        <v>15</v>
      </c>
      <c r="J10" s="31">
        <v>1500</v>
      </c>
      <c r="K10" s="12">
        <f t="shared" si="1"/>
        <v>100</v>
      </c>
      <c r="L10" s="455">
        <v>15</v>
      </c>
      <c r="M10" s="13">
        <f t="shared" si="12"/>
        <v>1428.7096774193546</v>
      </c>
      <c r="N10" s="12">
        <f t="shared" si="3"/>
        <v>95.247311827956977</v>
      </c>
      <c r="O10" s="14">
        <f t="shared" si="4"/>
        <v>0</v>
      </c>
      <c r="P10" s="15">
        <f t="shared" si="5"/>
        <v>-4.7526881720430225</v>
      </c>
      <c r="Q10" s="444">
        <f t="shared" si="6"/>
        <v>0.95247311827956982</v>
      </c>
      <c r="R10" s="615"/>
      <c r="S10" s="34">
        <v>0.24513888888888888</v>
      </c>
      <c r="T10" s="34">
        <v>0.37430555555555556</v>
      </c>
      <c r="U10" s="445">
        <f t="shared" ref="U10:U12" si="14">IF(S10=TIME(17,0,0),"",(S10-T9)*24*60)</f>
        <v>28.000000000000021</v>
      </c>
      <c r="V10" s="456">
        <f t="shared" si="13"/>
        <v>186.00000000000003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-71.290322580645352</v>
      </c>
      <c r="AF10" s="444">
        <f t="shared" si="9"/>
        <v>0.95247311827956982</v>
      </c>
      <c r="AG10" s="615"/>
    </row>
    <row r="11" spans="1:33" ht="15.75" customHeight="1">
      <c r="A11" s="648" t="s">
        <v>2179</v>
      </c>
      <c r="B11" s="29" t="s">
        <v>19</v>
      </c>
      <c r="C11" s="644" t="s">
        <v>21</v>
      </c>
      <c r="D11" s="645"/>
      <c r="E11" s="29">
        <v>39.799999999999997</v>
      </c>
      <c r="F11" s="457">
        <v>4200</v>
      </c>
      <c r="G11" s="445">
        <f t="shared" si="11"/>
        <v>167160</v>
      </c>
      <c r="H11" s="33">
        <v>2</v>
      </c>
      <c r="I11" s="455">
        <v>17</v>
      </c>
      <c r="J11" s="31">
        <v>1500</v>
      </c>
      <c r="K11" s="12">
        <f t="shared" si="1"/>
        <v>88.235294117647058</v>
      </c>
      <c r="L11" s="455">
        <v>17</v>
      </c>
      <c r="M11" s="13">
        <f t="shared" si="12"/>
        <v>1431.8181818181818</v>
      </c>
      <c r="N11" s="12">
        <f t="shared" si="3"/>
        <v>84.224598930481278</v>
      </c>
      <c r="O11" s="14">
        <f t="shared" si="4"/>
        <v>0</v>
      </c>
      <c r="P11" s="15">
        <f t="shared" si="5"/>
        <v>-4.0106951871657799</v>
      </c>
      <c r="Q11" s="444">
        <f t="shared" si="6"/>
        <v>0.95454545454545447</v>
      </c>
      <c r="R11" s="615"/>
      <c r="S11" s="34">
        <v>0.37777777777777777</v>
      </c>
      <c r="T11" s="34">
        <v>0.5</v>
      </c>
      <c r="U11" s="445">
        <f t="shared" si="14"/>
        <v>4.9999999999999822</v>
      </c>
      <c r="V11" s="456">
        <f t="shared" si="13"/>
        <v>176</v>
      </c>
      <c r="W11" s="16">
        <f>T11</f>
        <v>0.5</v>
      </c>
      <c r="X11" s="16">
        <f>S12</f>
        <v>0.54027777777777775</v>
      </c>
      <c r="Y11" s="16"/>
      <c r="Z11" s="16"/>
      <c r="AA11" s="617"/>
      <c r="AB11" s="617"/>
      <c r="AC11" s="35"/>
      <c r="AD11" s="18"/>
      <c r="AE11" s="14">
        <f t="shared" si="8"/>
        <v>-68.181818181818244</v>
      </c>
      <c r="AF11" s="444">
        <f t="shared" si="9"/>
        <v>0.95454545454545447</v>
      </c>
      <c r="AG11" s="615"/>
    </row>
    <row r="12" spans="1:33" ht="15.75" customHeight="1">
      <c r="A12" s="648" t="s">
        <v>2179</v>
      </c>
      <c r="B12" s="29" t="s">
        <v>19</v>
      </c>
      <c r="C12" s="644" t="s">
        <v>21</v>
      </c>
      <c r="D12" s="645"/>
      <c r="E12" s="29">
        <v>39.799999999999997</v>
      </c>
      <c r="F12" s="457">
        <v>3113</v>
      </c>
      <c r="G12" s="445">
        <f t="shared" si="11"/>
        <v>123897.4</v>
      </c>
      <c r="H12" s="33" t="s">
        <v>57</v>
      </c>
      <c r="I12" s="455">
        <v>17</v>
      </c>
      <c r="J12" s="31">
        <v>1500</v>
      </c>
      <c r="K12" s="12">
        <f t="shared" si="1"/>
        <v>88.235294117647058</v>
      </c>
      <c r="L12" s="455">
        <v>17</v>
      </c>
      <c r="M12" s="13">
        <f t="shared" si="12"/>
        <v>1436.7692307692305</v>
      </c>
      <c r="N12" s="12">
        <f t="shared" si="3"/>
        <v>84.515837104072375</v>
      </c>
      <c r="O12" s="14">
        <f t="shared" si="4"/>
        <v>0</v>
      </c>
      <c r="P12" s="15">
        <f t="shared" si="5"/>
        <v>-3.7194570135746829</v>
      </c>
      <c r="Q12" s="444">
        <f t="shared" si="6"/>
        <v>0.95784615384615357</v>
      </c>
      <c r="R12" s="615"/>
      <c r="S12" s="34">
        <v>0.54027777777777775</v>
      </c>
      <c r="T12" s="34">
        <v>0.63055555555555554</v>
      </c>
      <c r="U12" s="445">
        <f t="shared" si="14"/>
        <v>57.999999999999957</v>
      </c>
      <c r="V12" s="456">
        <f t="shared" si="13"/>
        <v>130.00000000000003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-63.230769230769511</v>
      </c>
      <c r="AF12" s="444">
        <f t="shared" si="9"/>
        <v>0.95784615384615368</v>
      </c>
      <c r="AG12" s="615"/>
    </row>
    <row r="13" spans="1:33" ht="16.5" customHeight="1">
      <c r="A13" s="648" t="s">
        <v>2179</v>
      </c>
      <c r="B13" s="29" t="s">
        <v>2178</v>
      </c>
      <c r="C13" s="618"/>
      <c r="D13" s="618"/>
      <c r="E13" s="446"/>
      <c r="F13" s="31"/>
      <c r="G13" s="13"/>
      <c r="H13" s="457"/>
      <c r="I13" s="23">
        <v>17</v>
      </c>
      <c r="J13" s="31">
        <v>1500</v>
      </c>
      <c r="K13" s="12">
        <f t="shared" si="1"/>
        <v>88.235294117647058</v>
      </c>
      <c r="L13" s="23">
        <v>17</v>
      </c>
      <c r="M13" s="13">
        <f>AVERAGE(M9:M12)</f>
        <v>1431.3974432333991</v>
      </c>
      <c r="N13" s="12">
        <f t="shared" si="3"/>
        <v>84.199849601964658</v>
      </c>
      <c r="O13" s="14">
        <f t="shared" si="4"/>
        <v>0</v>
      </c>
      <c r="P13" s="15">
        <f t="shared" si="5"/>
        <v>-4.0354445156823999</v>
      </c>
      <c r="Q13" s="444">
        <f t="shared" si="6"/>
        <v>0.95426496215559942</v>
      </c>
      <c r="R13" s="615"/>
      <c r="S13" s="34"/>
      <c r="T13" s="34"/>
      <c r="U13" s="12"/>
      <c r="V13" s="456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-68.602556766600856</v>
      </c>
      <c r="AF13" s="444">
        <f t="shared" si="9"/>
        <v>0.95426496215559942</v>
      </c>
      <c r="AG13" s="615"/>
    </row>
    <row r="14" spans="1:33" ht="16.5" customHeight="1">
      <c r="A14" s="646" t="s">
        <v>8</v>
      </c>
      <c r="B14" s="457" t="s">
        <v>22</v>
      </c>
      <c r="C14" s="640" t="s">
        <v>23</v>
      </c>
      <c r="D14" s="640"/>
      <c r="E14" s="29">
        <v>41</v>
      </c>
      <c r="F14" s="457">
        <v>1916</v>
      </c>
      <c r="G14" s="445">
        <f t="shared" ref="G14:G20" si="15">E14*F14</f>
        <v>78556</v>
      </c>
      <c r="H14" s="33" t="s">
        <v>57</v>
      </c>
      <c r="I14" s="455">
        <v>26</v>
      </c>
      <c r="J14" s="31">
        <v>1500</v>
      </c>
      <c r="K14" s="12">
        <f t="shared" si="1"/>
        <v>57.692307692307693</v>
      </c>
      <c r="L14" s="455">
        <v>26</v>
      </c>
      <c r="M14" s="13">
        <f t="shared" ref="M14:M20" si="16">F14/V14*60</f>
        <v>1436.9999999999998</v>
      </c>
      <c r="N14" s="12">
        <f t="shared" si="3"/>
        <v>55.269230769230759</v>
      </c>
      <c r="O14" s="14">
        <f t="shared" si="4"/>
        <v>0</v>
      </c>
      <c r="P14" s="15">
        <f t="shared" si="5"/>
        <v>-2.423076923076934</v>
      </c>
      <c r="Q14" s="444">
        <f t="shared" si="6"/>
        <v>0.95799999999999985</v>
      </c>
      <c r="R14" s="615">
        <f>Q21</f>
        <v>0.96636025477965359</v>
      </c>
      <c r="S14" s="34">
        <v>8.3333333333333329E-2</v>
      </c>
      <c r="T14" s="34">
        <v>0.1388888888888889</v>
      </c>
      <c r="U14" s="445"/>
      <c r="V14" s="456">
        <f t="shared" ref="V14:V20" si="17">(T14-S14)*24*60</f>
        <v>80.000000000000014</v>
      </c>
      <c r="W14" s="16">
        <f>T14</f>
        <v>0.1388888888888889</v>
      </c>
      <c r="X14" s="16">
        <f>S15</f>
        <v>0.15833333333333333</v>
      </c>
      <c r="Y14" s="21"/>
      <c r="Z14" s="21"/>
      <c r="AA14" s="617"/>
      <c r="AB14" s="617"/>
      <c r="AC14" s="35">
        <v>7</v>
      </c>
      <c r="AD14" s="18"/>
      <c r="AE14" s="14">
        <f t="shared" si="8"/>
        <v>-63.000000000000227</v>
      </c>
      <c r="AF14" s="444">
        <f t="shared" si="9"/>
        <v>0.95799999999999985</v>
      </c>
      <c r="AG14" s="615">
        <f>AF21</f>
        <v>0.9663602547796537</v>
      </c>
    </row>
    <row r="15" spans="1:33" ht="16.5" customHeight="1">
      <c r="A15" s="647" t="s">
        <v>2180</v>
      </c>
      <c r="B15" s="457" t="s">
        <v>22</v>
      </c>
      <c r="C15" s="640" t="s">
        <v>87</v>
      </c>
      <c r="D15" s="640"/>
      <c r="E15" s="29">
        <v>38.619999999999997</v>
      </c>
      <c r="F15" s="457">
        <v>2259</v>
      </c>
      <c r="G15" s="445">
        <f t="shared" si="15"/>
        <v>87242.579999999987</v>
      </c>
      <c r="H15" s="33" t="s">
        <v>57</v>
      </c>
      <c r="I15" s="455">
        <v>24</v>
      </c>
      <c r="J15" s="31">
        <v>1500</v>
      </c>
      <c r="K15" s="12">
        <f t="shared" si="1"/>
        <v>62.5</v>
      </c>
      <c r="L15" s="455">
        <v>24</v>
      </c>
      <c r="M15" s="13">
        <f t="shared" si="16"/>
        <v>1441.9148936170216</v>
      </c>
      <c r="N15" s="12">
        <f t="shared" si="3"/>
        <v>60.079787234042563</v>
      </c>
      <c r="O15" s="14">
        <f t="shared" si="4"/>
        <v>0</v>
      </c>
      <c r="P15" s="15">
        <f t="shared" si="5"/>
        <v>-2.4202127659574373</v>
      </c>
      <c r="Q15" s="444">
        <f t="shared" si="6"/>
        <v>0.96127659574468105</v>
      </c>
      <c r="R15" s="615"/>
      <c r="S15" s="34">
        <v>0.15833333333333333</v>
      </c>
      <c r="T15" s="34">
        <v>0.22361111111111109</v>
      </c>
      <c r="U15" s="445">
        <f t="shared" ref="U15:U20" si="18">IF(S15=TIME(17,0,0),"",(S15-T14)*24*60)</f>
        <v>27.999999999999979</v>
      </c>
      <c r="V15" s="456">
        <f t="shared" si="17"/>
        <v>93.999999999999986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-58.085106382978438</v>
      </c>
      <c r="AF15" s="444">
        <f t="shared" si="9"/>
        <v>0.96127659574468105</v>
      </c>
      <c r="AG15" s="615"/>
    </row>
    <row r="16" spans="1:33" ht="16.5" customHeight="1">
      <c r="A16" s="647" t="s">
        <v>8</v>
      </c>
      <c r="B16" s="457" t="s">
        <v>15</v>
      </c>
      <c r="C16" s="640" t="s">
        <v>86</v>
      </c>
      <c r="D16" s="640"/>
      <c r="E16" s="29">
        <v>37.03</v>
      </c>
      <c r="F16" s="457">
        <v>3453</v>
      </c>
      <c r="G16" s="445">
        <f t="shared" si="15"/>
        <v>127864.59000000001</v>
      </c>
      <c r="H16" s="33" t="s">
        <v>57</v>
      </c>
      <c r="I16" s="455">
        <v>13</v>
      </c>
      <c r="J16" s="31">
        <v>1500</v>
      </c>
      <c r="K16" s="12">
        <f t="shared" si="1"/>
        <v>115.38461538461539</v>
      </c>
      <c r="L16" s="455">
        <v>13</v>
      </c>
      <c r="M16" s="13">
        <f t="shared" si="16"/>
        <v>1438.7499999999995</v>
      </c>
      <c r="N16" s="12">
        <f t="shared" si="3"/>
        <v>110.67307692307689</v>
      </c>
      <c r="O16" s="14">
        <f t="shared" si="4"/>
        <v>0</v>
      </c>
      <c r="P16" s="15">
        <f t="shared" si="5"/>
        <v>-4.7115384615384954</v>
      </c>
      <c r="Q16" s="444">
        <f t="shared" si="6"/>
        <v>0.95916666666666639</v>
      </c>
      <c r="R16" s="615"/>
      <c r="S16" s="34">
        <v>0.22777777777777777</v>
      </c>
      <c r="T16" s="34">
        <v>0.32777777777777778</v>
      </c>
      <c r="U16" s="445">
        <f t="shared" si="18"/>
        <v>6.0000000000000187</v>
      </c>
      <c r="V16" s="456">
        <f t="shared" si="17"/>
        <v>144.00000000000003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-61.250000000000455</v>
      </c>
      <c r="AF16" s="444">
        <f t="shared" si="9"/>
        <v>0.95916666666666639</v>
      </c>
      <c r="AG16" s="615"/>
    </row>
    <row r="17" spans="1:33" ht="16.5" customHeight="1">
      <c r="A17" s="647" t="s">
        <v>2180</v>
      </c>
      <c r="B17" s="457" t="s">
        <v>19</v>
      </c>
      <c r="C17" s="640" t="s">
        <v>267</v>
      </c>
      <c r="D17" s="640"/>
      <c r="E17" s="29">
        <v>39.520000000000003</v>
      </c>
      <c r="F17" s="457">
        <v>3699</v>
      </c>
      <c r="G17" s="445">
        <f t="shared" si="15"/>
        <v>146184.48000000001</v>
      </c>
      <c r="H17" s="33" t="s">
        <v>57</v>
      </c>
      <c r="I17" s="455">
        <v>19</v>
      </c>
      <c r="J17" s="31">
        <v>1500</v>
      </c>
      <c r="K17" s="12">
        <f t="shared" si="1"/>
        <v>78.94736842105263</v>
      </c>
      <c r="L17" s="455">
        <v>19</v>
      </c>
      <c r="M17" s="13">
        <f t="shared" si="16"/>
        <v>1431.8709677419354</v>
      </c>
      <c r="N17" s="12">
        <f t="shared" si="3"/>
        <v>75.361629881154499</v>
      </c>
      <c r="O17" s="14">
        <f t="shared" si="4"/>
        <v>0</v>
      </c>
      <c r="P17" s="15">
        <f t="shared" si="5"/>
        <v>-3.5857385398981307</v>
      </c>
      <c r="Q17" s="444">
        <f t="shared" si="6"/>
        <v>0.95458064516129038</v>
      </c>
      <c r="R17" s="615"/>
      <c r="S17" s="34">
        <v>0.33124999999999999</v>
      </c>
      <c r="T17" s="34">
        <v>0.43888888888888888</v>
      </c>
      <c r="U17" s="445">
        <f t="shared" si="18"/>
        <v>4.9999999999999822</v>
      </c>
      <c r="V17" s="456">
        <f t="shared" si="17"/>
        <v>155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-68.129032258064626</v>
      </c>
      <c r="AF17" s="444">
        <f t="shared" si="9"/>
        <v>0.95458064516129026</v>
      </c>
      <c r="AG17" s="615"/>
    </row>
    <row r="18" spans="1:33" ht="16.5" customHeight="1">
      <c r="A18" s="647" t="s">
        <v>2180</v>
      </c>
      <c r="B18" s="457" t="s">
        <v>15</v>
      </c>
      <c r="C18" s="640" t="s">
        <v>25</v>
      </c>
      <c r="D18" s="640"/>
      <c r="E18" s="29">
        <v>53.68</v>
      </c>
      <c r="F18" s="457">
        <v>873</v>
      </c>
      <c r="G18" s="445">
        <f t="shared" si="15"/>
        <v>46862.64</v>
      </c>
      <c r="H18" s="33" t="s">
        <v>57</v>
      </c>
      <c r="I18" s="455">
        <v>16</v>
      </c>
      <c r="J18" s="31">
        <v>1500</v>
      </c>
      <c r="K18" s="12">
        <f t="shared" si="1"/>
        <v>93.75</v>
      </c>
      <c r="L18" s="455">
        <v>16</v>
      </c>
      <c r="M18" s="13">
        <f t="shared" si="16"/>
        <v>1454.9999999999989</v>
      </c>
      <c r="N18" s="12">
        <f t="shared" si="3"/>
        <v>90.937499999999929</v>
      </c>
      <c r="O18" s="14">
        <f t="shared" si="4"/>
        <v>0</v>
      </c>
      <c r="P18" s="15">
        <f t="shared" si="5"/>
        <v>-2.8125000000000711</v>
      </c>
      <c r="Q18" s="444">
        <f t="shared" si="6"/>
        <v>0.9699999999999992</v>
      </c>
      <c r="R18" s="615"/>
      <c r="S18" s="34">
        <v>0.70833333333333337</v>
      </c>
      <c r="T18" s="34">
        <v>0.73333333333333339</v>
      </c>
      <c r="U18" s="445" t="str">
        <f t="shared" si="18"/>
        <v/>
      </c>
      <c r="V18" s="456">
        <f t="shared" si="17"/>
        <v>36.000000000000028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-45.000000000001137</v>
      </c>
      <c r="AF18" s="444">
        <f t="shared" si="9"/>
        <v>0.9699999999999992</v>
      </c>
      <c r="AG18" s="615"/>
    </row>
    <row r="19" spans="1:33" ht="16.5" customHeight="1">
      <c r="A19" s="647" t="s">
        <v>2180</v>
      </c>
      <c r="B19" s="457" t="s">
        <v>15</v>
      </c>
      <c r="C19" s="453" t="s">
        <v>18</v>
      </c>
      <c r="D19" s="454"/>
      <c r="E19" s="29">
        <v>52.86</v>
      </c>
      <c r="F19" s="457">
        <v>854</v>
      </c>
      <c r="G19" s="445">
        <f t="shared" si="15"/>
        <v>45142.44</v>
      </c>
      <c r="H19" s="33" t="s">
        <v>57</v>
      </c>
      <c r="I19" s="455">
        <v>16</v>
      </c>
      <c r="J19" s="31">
        <v>2000</v>
      </c>
      <c r="K19" s="12">
        <f t="shared" si="1"/>
        <v>125</v>
      </c>
      <c r="L19" s="455">
        <v>16</v>
      </c>
      <c r="M19" s="13">
        <f t="shared" si="16"/>
        <v>1970.7692307692257</v>
      </c>
      <c r="N19" s="12">
        <f t="shared" si="3"/>
        <v>123.17307692307661</v>
      </c>
      <c r="O19" s="14">
        <f t="shared" si="4"/>
        <v>0</v>
      </c>
      <c r="P19" s="15">
        <f t="shared" si="5"/>
        <v>-1.8269230769233928</v>
      </c>
      <c r="Q19" s="444">
        <f t="shared" si="6"/>
        <v>0.98538461538461286</v>
      </c>
      <c r="R19" s="615"/>
      <c r="S19" s="34">
        <v>0.73888888888888893</v>
      </c>
      <c r="T19" s="34">
        <v>0.75694444444444453</v>
      </c>
      <c r="U19" s="445">
        <f t="shared" si="18"/>
        <v>7.9999999999999716</v>
      </c>
      <c r="V19" s="456">
        <f t="shared" si="17"/>
        <v>26.000000000000068</v>
      </c>
      <c r="W19" s="16"/>
      <c r="X19" s="16"/>
      <c r="Y19" s="19"/>
      <c r="Z19" s="19"/>
      <c r="AA19" s="451"/>
      <c r="AB19" s="452"/>
      <c r="AC19" s="35"/>
      <c r="AD19" s="18"/>
      <c r="AE19" s="14">
        <f t="shared" si="8"/>
        <v>-29.230769230774285</v>
      </c>
      <c r="AF19" s="444">
        <f t="shared" si="9"/>
        <v>0.98538461538461286</v>
      </c>
      <c r="AG19" s="615"/>
    </row>
    <row r="20" spans="1:33" ht="16.5" customHeight="1">
      <c r="A20" s="647" t="s">
        <v>2180</v>
      </c>
      <c r="B20" s="457" t="s">
        <v>15</v>
      </c>
      <c r="C20" s="453" t="s">
        <v>16</v>
      </c>
      <c r="D20" s="454"/>
      <c r="E20" s="29">
        <v>50.67</v>
      </c>
      <c r="F20" s="457">
        <v>1195</v>
      </c>
      <c r="G20" s="445">
        <f t="shared" si="15"/>
        <v>60550.65</v>
      </c>
      <c r="H20" s="33" t="s">
        <v>57</v>
      </c>
      <c r="I20" s="455">
        <v>17</v>
      </c>
      <c r="J20" s="31">
        <v>2000</v>
      </c>
      <c r="K20" s="12">
        <f t="shared" si="1"/>
        <v>117.64705882352941</v>
      </c>
      <c r="L20" s="455">
        <v>17</v>
      </c>
      <c r="M20" s="13">
        <f t="shared" si="16"/>
        <v>1937.8378378378361</v>
      </c>
      <c r="N20" s="12">
        <f t="shared" si="3"/>
        <v>113.99046104928448</v>
      </c>
      <c r="O20" s="14">
        <f t="shared" si="4"/>
        <v>0</v>
      </c>
      <c r="P20" s="15">
        <f t="shared" si="5"/>
        <v>-3.6565977742449292</v>
      </c>
      <c r="Q20" s="444">
        <f t="shared" si="6"/>
        <v>0.96891891891891813</v>
      </c>
      <c r="R20" s="615"/>
      <c r="S20" s="34">
        <v>0.76250000000000007</v>
      </c>
      <c r="T20" s="34">
        <v>0.78819444444444453</v>
      </c>
      <c r="U20" s="445">
        <f t="shared" si="18"/>
        <v>7.9999999999999716</v>
      </c>
      <c r="V20" s="456">
        <f t="shared" si="17"/>
        <v>37.000000000000028</v>
      </c>
      <c r="W20" s="16"/>
      <c r="X20" s="16"/>
      <c r="Y20" s="19"/>
      <c r="Z20" s="19"/>
      <c r="AA20" s="451"/>
      <c r="AB20" s="452"/>
      <c r="AC20" s="35"/>
      <c r="AD20" s="18"/>
      <c r="AE20" s="14">
        <f t="shared" si="8"/>
        <v>-62.162162162163895</v>
      </c>
      <c r="AF20" s="444">
        <f t="shared" si="9"/>
        <v>0.96891891891891802</v>
      </c>
      <c r="AG20" s="615"/>
    </row>
    <row r="21" spans="1:33" ht="16.5" customHeight="1">
      <c r="A21" s="647" t="s">
        <v>2180</v>
      </c>
      <c r="B21" s="29" t="s">
        <v>2178</v>
      </c>
      <c r="C21" s="618"/>
      <c r="D21" s="618"/>
      <c r="E21" s="446"/>
      <c r="F21" s="30"/>
      <c r="G21" s="12"/>
      <c r="H21" s="457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1587.5918471380025</v>
      </c>
      <c r="N21" s="12">
        <f t="shared" si="3"/>
        <v>84.833152137145163</v>
      </c>
      <c r="O21" s="14">
        <f t="shared" si="4"/>
        <v>0</v>
      </c>
      <c r="P21" s="15">
        <f t="shared" si="5"/>
        <v>-2.9531074048395709</v>
      </c>
      <c r="Q21" s="444">
        <f t="shared" si="6"/>
        <v>0.96636025477965359</v>
      </c>
      <c r="R21" s="615"/>
      <c r="S21" s="34"/>
      <c r="T21" s="34"/>
      <c r="U21" s="445"/>
      <c r="V21" s="456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-55.26529571914034</v>
      </c>
      <c r="AF21" s="444">
        <f t="shared" si="9"/>
        <v>0.9663602547796537</v>
      </c>
      <c r="AG21" s="615"/>
    </row>
    <row r="22" spans="1:33" ht="15.75" customHeight="1">
      <c r="A22" s="642" t="s">
        <v>9</v>
      </c>
      <c r="B22" s="29" t="s">
        <v>15</v>
      </c>
      <c r="C22" s="640" t="s">
        <v>28</v>
      </c>
      <c r="D22" s="640"/>
      <c r="E22" s="29">
        <v>50.67</v>
      </c>
      <c r="F22" s="457">
        <v>1883</v>
      </c>
      <c r="G22" s="445">
        <f t="shared" ref="G22:G27" si="19">E22*F22</f>
        <v>95411.61</v>
      </c>
      <c r="H22" s="33" t="s">
        <v>57</v>
      </c>
      <c r="I22" s="455">
        <v>17</v>
      </c>
      <c r="J22" s="31">
        <v>2000</v>
      </c>
      <c r="K22" s="12">
        <f t="shared" si="1"/>
        <v>117.64705882352941</v>
      </c>
      <c r="L22" s="455">
        <v>17</v>
      </c>
      <c r="M22" s="13">
        <f t="shared" ref="M22:M27" si="20">F22/V22*60</f>
        <v>1914.9152542372883</v>
      </c>
      <c r="N22" s="12">
        <f t="shared" si="3"/>
        <v>112.64207377866401</v>
      </c>
      <c r="O22" s="14">
        <f t="shared" si="4"/>
        <v>0</v>
      </c>
      <c r="P22" s="15">
        <f t="shared" si="5"/>
        <v>-5.0049850448653928</v>
      </c>
      <c r="Q22" s="444">
        <f t="shared" si="6"/>
        <v>0.95745762711864413</v>
      </c>
      <c r="R22" s="615">
        <f>Q28</f>
        <v>0.95720477218241684</v>
      </c>
      <c r="S22" s="34">
        <v>0.20833333333333334</v>
      </c>
      <c r="T22" s="34">
        <v>0.24930555555555556</v>
      </c>
      <c r="U22" s="445"/>
      <c r="V22" s="456">
        <f t="shared" ref="V22:V27" si="21">(T22-S22)*24*60</f>
        <v>58.999999999999993</v>
      </c>
      <c r="W22" s="21"/>
      <c r="X22" s="21"/>
      <c r="Y22" s="21"/>
      <c r="Z22" s="21"/>
      <c r="AA22" s="617"/>
      <c r="AB22" s="617"/>
      <c r="AC22" s="35">
        <v>6</v>
      </c>
      <c r="AD22" s="18"/>
      <c r="AE22" s="14">
        <f t="shared" si="8"/>
        <v>-85.084745762711691</v>
      </c>
      <c r="AF22" s="444">
        <f t="shared" si="9"/>
        <v>0.95745762711864413</v>
      </c>
      <c r="AG22" s="615">
        <f>AF28</f>
        <v>0.95720477218241684</v>
      </c>
    </row>
    <row r="23" spans="1:33" ht="15.75" customHeight="1">
      <c r="A23" s="643" t="s">
        <v>2181</v>
      </c>
      <c r="B23" s="29" t="s">
        <v>15</v>
      </c>
      <c r="C23" s="640" t="s">
        <v>29</v>
      </c>
      <c r="D23" s="640"/>
      <c r="E23" s="29">
        <v>57.73</v>
      </c>
      <c r="F23" s="457">
        <v>2104</v>
      </c>
      <c r="G23" s="445">
        <f t="shared" si="19"/>
        <v>121463.92</v>
      </c>
      <c r="H23" s="33" t="s">
        <v>57</v>
      </c>
      <c r="I23" s="455">
        <v>14</v>
      </c>
      <c r="J23" s="31">
        <v>2000</v>
      </c>
      <c r="K23" s="12">
        <f t="shared" si="1"/>
        <v>142.85714285714286</v>
      </c>
      <c r="L23" s="455">
        <v>14</v>
      </c>
      <c r="M23" s="13">
        <f t="shared" si="20"/>
        <v>1912.7272727272727</v>
      </c>
      <c r="N23" s="12">
        <f t="shared" si="3"/>
        <v>136.62337662337663</v>
      </c>
      <c r="O23" s="14">
        <f t="shared" si="4"/>
        <v>0</v>
      </c>
      <c r="P23" s="15">
        <f t="shared" si="5"/>
        <v>-6.2337662337662323</v>
      </c>
      <c r="Q23" s="444">
        <f t="shared" si="6"/>
        <v>0.95636363636363642</v>
      </c>
      <c r="R23" s="615"/>
      <c r="S23" s="34">
        <v>0.25347222222222221</v>
      </c>
      <c r="T23" s="34">
        <v>0.29930555555555555</v>
      </c>
      <c r="U23" s="445">
        <f t="shared" ref="U23:U27" si="22">IF(S23=TIME(17,0,0),"",(S23-T22)*24*60)</f>
        <v>5.9999999999999787</v>
      </c>
      <c r="V23" s="456">
        <f t="shared" si="21"/>
        <v>66</v>
      </c>
      <c r="W23" s="16"/>
      <c r="X23" s="445"/>
      <c r="Y23" s="445"/>
      <c r="Z23" s="445"/>
      <c r="AA23" s="617"/>
      <c r="AB23" s="617"/>
      <c r="AC23" s="35"/>
      <c r="AD23" s="18"/>
      <c r="AE23" s="14">
        <f t="shared" si="8"/>
        <v>-87.272727272727252</v>
      </c>
      <c r="AF23" s="444">
        <f t="shared" si="9"/>
        <v>0.95636363636363642</v>
      </c>
      <c r="AG23" s="615"/>
    </row>
    <row r="24" spans="1:33" ht="15.75" customHeight="1">
      <c r="A24" s="643" t="s">
        <v>2181</v>
      </c>
      <c r="B24" s="29" t="s">
        <v>15</v>
      </c>
      <c r="C24" s="640" t="s">
        <v>80</v>
      </c>
      <c r="D24" s="640"/>
      <c r="E24" s="29">
        <v>53.27</v>
      </c>
      <c r="F24" s="457">
        <v>1651</v>
      </c>
      <c r="G24" s="445">
        <f t="shared" si="19"/>
        <v>87948.77</v>
      </c>
      <c r="H24" s="33" t="s">
        <v>57</v>
      </c>
      <c r="I24" s="455">
        <v>16</v>
      </c>
      <c r="J24" s="31">
        <v>2000</v>
      </c>
      <c r="K24" s="12">
        <f t="shared" si="1"/>
        <v>125</v>
      </c>
      <c r="L24" s="455">
        <v>16</v>
      </c>
      <c r="M24" s="13">
        <f t="shared" si="20"/>
        <v>1905.0000000000011</v>
      </c>
      <c r="N24" s="12">
        <f t="shared" si="3"/>
        <v>119.06250000000007</v>
      </c>
      <c r="O24" s="14">
        <f t="shared" si="4"/>
        <v>0</v>
      </c>
      <c r="P24" s="15">
        <f t="shared" si="5"/>
        <v>-5.9374999999999289</v>
      </c>
      <c r="Q24" s="444">
        <f t="shared" si="6"/>
        <v>0.95250000000000057</v>
      </c>
      <c r="R24" s="615"/>
      <c r="S24" s="34">
        <v>0.30416666666666664</v>
      </c>
      <c r="T24" s="34">
        <v>0.34027777777777773</v>
      </c>
      <c r="U24" s="445">
        <f t="shared" si="22"/>
        <v>6.9999999999999751</v>
      </c>
      <c r="V24" s="456">
        <f t="shared" si="21"/>
        <v>51.999999999999972</v>
      </c>
      <c r="W24" s="16"/>
      <c r="X24" s="445"/>
      <c r="Y24" s="445"/>
      <c r="Z24" s="445"/>
      <c r="AA24" s="617"/>
      <c r="AB24" s="617"/>
      <c r="AC24" s="35"/>
      <c r="AD24" s="18"/>
      <c r="AE24" s="14">
        <f t="shared" si="8"/>
        <v>-94.999999999998863</v>
      </c>
      <c r="AF24" s="444">
        <f t="shared" si="9"/>
        <v>0.95250000000000057</v>
      </c>
      <c r="AG24" s="615"/>
    </row>
    <row r="25" spans="1:33" ht="15.75" customHeight="1">
      <c r="A25" s="643" t="s">
        <v>2181</v>
      </c>
      <c r="B25" s="29" t="s">
        <v>15</v>
      </c>
      <c r="C25" s="640" t="s">
        <v>1472</v>
      </c>
      <c r="D25" s="640"/>
      <c r="E25" s="29">
        <v>51.44</v>
      </c>
      <c r="F25" s="457">
        <v>2166</v>
      </c>
      <c r="G25" s="445">
        <f t="shared" si="19"/>
        <v>111419.04</v>
      </c>
      <c r="H25" s="33" t="s">
        <v>57</v>
      </c>
      <c r="I25" s="455">
        <v>25</v>
      </c>
      <c r="J25" s="31">
        <v>2000</v>
      </c>
      <c r="K25" s="12">
        <f t="shared" si="1"/>
        <v>80</v>
      </c>
      <c r="L25" s="455">
        <v>25</v>
      </c>
      <c r="M25" s="13">
        <f t="shared" si="20"/>
        <v>1911.1764705882351</v>
      </c>
      <c r="N25" s="12">
        <f t="shared" si="3"/>
        <v>76.447058823529403</v>
      </c>
      <c r="O25" s="14">
        <f t="shared" si="4"/>
        <v>0</v>
      </c>
      <c r="P25" s="15">
        <f t="shared" si="5"/>
        <v>-3.5529411764705969</v>
      </c>
      <c r="Q25" s="444">
        <f t="shared" si="6"/>
        <v>0.95558823529411752</v>
      </c>
      <c r="R25" s="615"/>
      <c r="S25" s="34">
        <v>0.34513888888888883</v>
      </c>
      <c r="T25" s="34">
        <v>0.39236111111111105</v>
      </c>
      <c r="U25" s="445">
        <f t="shared" si="22"/>
        <v>6.9999999999999751</v>
      </c>
      <c r="V25" s="456">
        <f t="shared" si="21"/>
        <v>68</v>
      </c>
      <c r="W25" s="16"/>
      <c r="X25" s="445"/>
      <c r="Y25" s="445"/>
      <c r="Z25" s="445"/>
      <c r="AA25" s="617"/>
      <c r="AB25" s="617"/>
      <c r="AC25" s="35"/>
      <c r="AD25" s="18"/>
      <c r="AE25" s="14">
        <f t="shared" si="8"/>
        <v>-88.823529411764866</v>
      </c>
      <c r="AF25" s="444">
        <f t="shared" si="9"/>
        <v>0.95558823529411752</v>
      </c>
      <c r="AG25" s="615"/>
    </row>
    <row r="26" spans="1:33" ht="15.75" customHeight="1">
      <c r="A26" s="643" t="s">
        <v>2181</v>
      </c>
      <c r="B26" s="29" t="s">
        <v>15</v>
      </c>
      <c r="C26" s="640" t="s">
        <v>30</v>
      </c>
      <c r="D26" s="640"/>
      <c r="E26" s="29">
        <v>50.49</v>
      </c>
      <c r="F26" s="457">
        <v>1319</v>
      </c>
      <c r="G26" s="445">
        <f t="shared" si="19"/>
        <v>66596.31</v>
      </c>
      <c r="H26" s="33" t="s">
        <v>57</v>
      </c>
      <c r="I26" s="455">
        <v>15</v>
      </c>
      <c r="J26" s="31">
        <v>2000</v>
      </c>
      <c r="K26" s="12">
        <f t="shared" si="1"/>
        <v>133.33333333333334</v>
      </c>
      <c r="L26" s="455">
        <v>15</v>
      </c>
      <c r="M26" s="13">
        <f t="shared" si="20"/>
        <v>1930.2439024390237</v>
      </c>
      <c r="N26" s="12">
        <f t="shared" si="3"/>
        <v>128.68292682926824</v>
      </c>
      <c r="O26" s="14">
        <f t="shared" si="4"/>
        <v>0</v>
      </c>
      <c r="P26" s="15">
        <f t="shared" si="5"/>
        <v>-4.6504065040651028</v>
      </c>
      <c r="Q26" s="444">
        <f t="shared" si="6"/>
        <v>0.96512195121951172</v>
      </c>
      <c r="R26" s="615"/>
      <c r="S26" s="34">
        <v>0.70833333333333337</v>
      </c>
      <c r="T26" s="34">
        <v>0.7368055555555556</v>
      </c>
      <c r="U26" s="445" t="str">
        <f t="shared" si="22"/>
        <v/>
      </c>
      <c r="V26" s="456">
        <f t="shared" si="21"/>
        <v>41.000000000000014</v>
      </c>
      <c r="W26" s="16"/>
      <c r="X26" s="16"/>
      <c r="Y26" s="445"/>
      <c r="Z26" s="445"/>
      <c r="AA26" s="617"/>
      <c r="AB26" s="617"/>
      <c r="AC26" s="35"/>
      <c r="AD26" s="18"/>
      <c r="AE26" s="14">
        <f t="shared" si="8"/>
        <v>-69.756097560976286</v>
      </c>
      <c r="AF26" s="444">
        <f t="shared" si="9"/>
        <v>0.96512195121951183</v>
      </c>
      <c r="AG26" s="615"/>
    </row>
    <row r="27" spans="1:33" ht="15.75" customHeight="1">
      <c r="A27" s="643" t="s">
        <v>2181</v>
      </c>
      <c r="B27" s="29" t="s">
        <v>15</v>
      </c>
      <c r="C27" s="640" t="s">
        <v>82</v>
      </c>
      <c r="D27" s="640"/>
      <c r="E27" s="29">
        <v>51.06</v>
      </c>
      <c r="F27" s="457">
        <v>2263</v>
      </c>
      <c r="G27" s="445">
        <f t="shared" si="19"/>
        <v>115548.78</v>
      </c>
      <c r="H27" s="33" t="s">
        <v>57</v>
      </c>
      <c r="I27" s="455">
        <v>13</v>
      </c>
      <c r="J27" s="31">
        <v>2000</v>
      </c>
      <c r="K27" s="12">
        <f t="shared" si="1"/>
        <v>153.84615384615384</v>
      </c>
      <c r="L27" s="455">
        <v>13</v>
      </c>
      <c r="M27" s="13">
        <f t="shared" si="20"/>
        <v>1912.3943661971812</v>
      </c>
      <c r="N27" s="12">
        <f t="shared" si="3"/>
        <v>147.10725893824471</v>
      </c>
      <c r="O27" s="14">
        <f t="shared" si="4"/>
        <v>0</v>
      </c>
      <c r="P27" s="15">
        <f t="shared" si="5"/>
        <v>-6.7388949079091276</v>
      </c>
      <c r="Q27" s="444">
        <f t="shared" si="6"/>
        <v>0.9561971830985907</v>
      </c>
      <c r="R27" s="615"/>
      <c r="S27" s="34">
        <v>0.74097222222222225</v>
      </c>
      <c r="T27" s="34">
        <v>0.79027777777777786</v>
      </c>
      <c r="U27" s="445">
        <f t="shared" si="22"/>
        <v>5.9999999999999787</v>
      </c>
      <c r="V27" s="456">
        <f t="shared" si="21"/>
        <v>71.000000000000071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-87.605633802818829</v>
      </c>
      <c r="AF27" s="444">
        <f t="shared" si="9"/>
        <v>0.95619718309859059</v>
      </c>
      <c r="AG27" s="615"/>
    </row>
    <row r="28" spans="1:33" ht="15.75" customHeight="1">
      <c r="A28" s="643" t="s">
        <v>2181</v>
      </c>
      <c r="B28" s="29" t="s">
        <v>2182</v>
      </c>
      <c r="C28" s="618"/>
      <c r="D28" s="618"/>
      <c r="E28" s="446"/>
      <c r="F28" s="457"/>
      <c r="G28" s="445"/>
      <c r="H28" s="457"/>
      <c r="I28" s="23">
        <v>16.666666666666668</v>
      </c>
      <c r="J28" s="31">
        <v>2000</v>
      </c>
      <c r="K28" s="12">
        <f t="shared" si="1"/>
        <v>119.99999999999999</v>
      </c>
      <c r="L28" s="23">
        <v>16.666666666666668</v>
      </c>
      <c r="M28" s="13">
        <f>AVERAGE(M22:M27)</f>
        <v>1914.4095443648337</v>
      </c>
      <c r="N28" s="12">
        <f t="shared" si="3"/>
        <v>114.86457266189001</v>
      </c>
      <c r="O28" s="14">
        <f t="shared" si="4"/>
        <v>0</v>
      </c>
      <c r="P28" s="15">
        <f t="shared" si="5"/>
        <v>-5.1354273381099773</v>
      </c>
      <c r="Q28" s="444">
        <f t="shared" si="6"/>
        <v>0.95720477218241684</v>
      </c>
      <c r="R28" s="615"/>
      <c r="S28" s="34"/>
      <c r="T28" s="34"/>
      <c r="U28" s="12"/>
      <c r="V28" s="456"/>
      <c r="W28" s="12"/>
      <c r="X28" s="12"/>
      <c r="Y28" s="24">
        <f>SUM(Y22:Y27)</f>
        <v>0</v>
      </c>
      <c r="Z28" s="24">
        <f>SUM(Z22:Z27)</f>
        <v>0</v>
      </c>
      <c r="AA28" s="614"/>
      <c r="AB28" s="614"/>
      <c r="AC28" s="24">
        <v>6</v>
      </c>
      <c r="AD28" s="24">
        <f>SUM(AD22:AD27)</f>
        <v>0</v>
      </c>
      <c r="AE28" s="14">
        <f t="shared" si="8"/>
        <v>-85.590455635166336</v>
      </c>
      <c r="AF28" s="444">
        <f t="shared" si="9"/>
        <v>0.95720477218241684</v>
      </c>
      <c r="AG28" s="615"/>
    </row>
    <row r="29" spans="1:33" ht="15.75" customHeight="1">
      <c r="A29" s="641" t="s">
        <v>10</v>
      </c>
      <c r="B29" s="29" t="s">
        <v>32</v>
      </c>
      <c r="C29" s="640" t="s">
        <v>33</v>
      </c>
      <c r="D29" s="640"/>
      <c r="E29" s="29">
        <v>31.29</v>
      </c>
      <c r="F29" s="457">
        <v>4900</v>
      </c>
      <c r="G29" s="445">
        <f t="shared" ref="G29:G36" si="23">E29*F29</f>
        <v>153321</v>
      </c>
      <c r="H29" s="33">
        <v>2</v>
      </c>
      <c r="I29" s="455">
        <v>18</v>
      </c>
      <c r="J29" s="31">
        <v>2400</v>
      </c>
      <c r="K29" s="12">
        <f t="shared" si="1"/>
        <v>133.33333333333334</v>
      </c>
      <c r="L29" s="455">
        <v>18</v>
      </c>
      <c r="M29" s="13">
        <f t="shared" ref="M29:M36" si="24">F29/V29*60</f>
        <v>2296.875</v>
      </c>
      <c r="N29" s="12">
        <f t="shared" si="3"/>
        <v>127.60416666666667</v>
      </c>
      <c r="O29" s="14">
        <f t="shared" si="4"/>
        <v>0</v>
      </c>
      <c r="P29" s="15">
        <f t="shared" si="5"/>
        <v>-5.7291666666666714</v>
      </c>
      <c r="Q29" s="444">
        <f t="shared" si="6"/>
        <v>0.95703125</v>
      </c>
      <c r="R29" s="615">
        <f>Q37</f>
        <v>0.95584381893224302</v>
      </c>
      <c r="S29" s="34">
        <v>8.3333333333333329E-2</v>
      </c>
      <c r="T29" s="34">
        <v>0.17222222222222222</v>
      </c>
      <c r="U29" s="445"/>
      <c r="V29" s="456">
        <f t="shared" ref="V29:V36" si="25">(T29-S29)*24*60</f>
        <v>128</v>
      </c>
      <c r="W29" s="16">
        <f>T29</f>
        <v>0.17222222222222222</v>
      </c>
      <c r="X29" s="16">
        <f>S30</f>
        <v>0.1895833333333333</v>
      </c>
      <c r="Y29" s="16"/>
      <c r="Z29" s="16"/>
      <c r="AA29" s="617"/>
      <c r="AB29" s="617"/>
      <c r="AC29" s="35">
        <v>8</v>
      </c>
      <c r="AD29" s="18"/>
      <c r="AE29" s="14">
        <f t="shared" si="8"/>
        <v>-103.125</v>
      </c>
      <c r="AF29" s="444">
        <f t="shared" si="9"/>
        <v>0.95703125</v>
      </c>
      <c r="AG29" s="615">
        <f>AF37</f>
        <v>0.95584381893224279</v>
      </c>
    </row>
    <row r="30" spans="1:33" ht="15.75" customHeight="1">
      <c r="A30" s="641" t="s">
        <v>10</v>
      </c>
      <c r="B30" s="29" t="s">
        <v>32</v>
      </c>
      <c r="C30" s="640" t="s">
        <v>34</v>
      </c>
      <c r="D30" s="640"/>
      <c r="E30" s="29">
        <v>26.37</v>
      </c>
      <c r="F30" s="457">
        <v>6047</v>
      </c>
      <c r="G30" s="445">
        <f t="shared" si="23"/>
        <v>159459.39000000001</v>
      </c>
      <c r="H30" s="33" t="s">
        <v>57</v>
      </c>
      <c r="I30" s="455">
        <v>18</v>
      </c>
      <c r="J30" s="31">
        <v>2400</v>
      </c>
      <c r="K30" s="12">
        <f t="shared" si="1"/>
        <v>133.33333333333334</v>
      </c>
      <c r="L30" s="455">
        <v>18</v>
      </c>
      <c r="M30" s="13">
        <f t="shared" si="24"/>
        <v>2296.3291139240514</v>
      </c>
      <c r="N30" s="12">
        <f t="shared" si="3"/>
        <v>127.5738396624473</v>
      </c>
      <c r="O30" s="14">
        <f t="shared" si="4"/>
        <v>0</v>
      </c>
      <c r="P30" s="15">
        <f t="shared" si="5"/>
        <v>-5.7594936708860445</v>
      </c>
      <c r="Q30" s="444">
        <f t="shared" si="6"/>
        <v>0.95680379746835464</v>
      </c>
      <c r="R30" s="615"/>
      <c r="S30" s="34">
        <v>0.1895833333333333</v>
      </c>
      <c r="T30" s="34">
        <v>0.29930555555555549</v>
      </c>
      <c r="U30" s="445">
        <f t="shared" ref="U30:U36" si="26">(S30-T29)*24*60</f>
        <v>24.99999999999995</v>
      </c>
      <c r="V30" s="456">
        <f t="shared" si="25"/>
        <v>157.99999999999997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-103.6708860759486</v>
      </c>
      <c r="AF30" s="444">
        <f t="shared" si="9"/>
        <v>0.95680379746835476</v>
      </c>
      <c r="AG30" s="615"/>
    </row>
    <row r="31" spans="1:33" ht="15.75" customHeight="1">
      <c r="A31" s="641" t="s">
        <v>10</v>
      </c>
      <c r="B31" s="29" t="s">
        <v>32</v>
      </c>
      <c r="C31" s="640" t="s">
        <v>76</v>
      </c>
      <c r="D31" s="640"/>
      <c r="E31" s="29">
        <v>26.18</v>
      </c>
      <c r="F31" s="457">
        <v>4200</v>
      </c>
      <c r="G31" s="445">
        <f t="shared" si="23"/>
        <v>109956</v>
      </c>
      <c r="H31" s="33">
        <v>2</v>
      </c>
      <c r="I31" s="455">
        <v>18</v>
      </c>
      <c r="J31" s="31">
        <v>2400</v>
      </c>
      <c r="K31" s="12">
        <f t="shared" si="1"/>
        <v>133.33333333333334</v>
      </c>
      <c r="L31" s="455">
        <v>18</v>
      </c>
      <c r="M31" s="13">
        <f t="shared" si="24"/>
        <v>2290.909090909091</v>
      </c>
      <c r="N31" s="12">
        <f t="shared" si="3"/>
        <v>127.27272727272728</v>
      </c>
      <c r="O31" s="14">
        <f t="shared" si="4"/>
        <v>0</v>
      </c>
      <c r="P31" s="15">
        <f t="shared" si="5"/>
        <v>-6.0606060606060623</v>
      </c>
      <c r="Q31" s="444">
        <f t="shared" si="6"/>
        <v>0.95454545454545459</v>
      </c>
      <c r="R31" s="615"/>
      <c r="S31" s="34">
        <v>0.30486111111111103</v>
      </c>
      <c r="T31" s="34">
        <v>0.38124999999999992</v>
      </c>
      <c r="U31" s="445">
        <f t="shared" si="26"/>
        <v>7.9999999999999716</v>
      </c>
      <c r="V31" s="456">
        <f t="shared" si="25"/>
        <v>110.00000000000001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-109.09090909090901</v>
      </c>
      <c r="AF31" s="444">
        <f t="shared" si="9"/>
        <v>0.95454545454545459</v>
      </c>
      <c r="AG31" s="615"/>
    </row>
    <row r="32" spans="1:33" ht="15.75" customHeight="1">
      <c r="A32" s="641" t="s">
        <v>10</v>
      </c>
      <c r="B32" s="29" t="s">
        <v>32</v>
      </c>
      <c r="C32" s="640" t="s">
        <v>79</v>
      </c>
      <c r="D32" s="640"/>
      <c r="E32" s="29">
        <v>25.99</v>
      </c>
      <c r="F32" s="457">
        <v>1793</v>
      </c>
      <c r="G32" s="445">
        <f t="shared" si="23"/>
        <v>46600.07</v>
      </c>
      <c r="H32" s="33" t="s">
        <v>57</v>
      </c>
      <c r="I32" s="455">
        <v>18</v>
      </c>
      <c r="J32" s="31">
        <v>2400</v>
      </c>
      <c r="K32" s="12">
        <f t="shared" si="1"/>
        <v>133.33333333333334</v>
      </c>
      <c r="L32" s="455">
        <v>18</v>
      </c>
      <c r="M32" s="13">
        <f t="shared" si="24"/>
        <v>2288.9361702127662</v>
      </c>
      <c r="N32" s="12">
        <f t="shared" si="3"/>
        <v>127.1631205673759</v>
      </c>
      <c r="O32" s="14">
        <f t="shared" si="4"/>
        <v>0</v>
      </c>
      <c r="P32" s="15">
        <f t="shared" si="5"/>
        <v>-6.1702127659574444</v>
      </c>
      <c r="Q32" s="444">
        <f t="shared" si="6"/>
        <v>0.95372340425531921</v>
      </c>
      <c r="R32" s="615"/>
      <c r="S32" s="34">
        <v>0.38541666666666657</v>
      </c>
      <c r="T32" s="34">
        <v>0.41805555555555546</v>
      </c>
      <c r="U32" s="445">
        <f t="shared" si="26"/>
        <v>5.9999999999999787</v>
      </c>
      <c r="V32" s="456">
        <f t="shared" si="25"/>
        <v>46.999999999999993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-111.06382978723377</v>
      </c>
      <c r="AF32" s="444">
        <f t="shared" si="9"/>
        <v>0.95372340425531921</v>
      </c>
      <c r="AG32" s="615"/>
    </row>
    <row r="33" spans="1:33" ht="15.75" customHeight="1">
      <c r="A33" s="641" t="s">
        <v>10</v>
      </c>
      <c r="B33" s="29" t="s">
        <v>32</v>
      </c>
      <c r="C33" s="640" t="s">
        <v>35</v>
      </c>
      <c r="D33" s="640"/>
      <c r="E33" s="29">
        <v>25.99</v>
      </c>
      <c r="F33" s="457">
        <v>3998</v>
      </c>
      <c r="G33" s="445">
        <f t="shared" si="23"/>
        <v>103908.01999999999</v>
      </c>
      <c r="H33" s="33" t="s">
        <v>57</v>
      </c>
      <c r="I33" s="455">
        <v>14</v>
      </c>
      <c r="J33" s="31">
        <v>2400</v>
      </c>
      <c r="K33" s="12">
        <f t="shared" si="1"/>
        <v>171.42857142857142</v>
      </c>
      <c r="L33" s="455">
        <v>14</v>
      </c>
      <c r="M33" s="13">
        <f t="shared" si="24"/>
        <v>2284.571428571428</v>
      </c>
      <c r="N33" s="12">
        <f t="shared" si="3"/>
        <v>163.18367346938771</v>
      </c>
      <c r="O33" s="14">
        <f t="shared" si="4"/>
        <v>0</v>
      </c>
      <c r="P33" s="15">
        <f t="shared" si="5"/>
        <v>-8.2448979591837031</v>
      </c>
      <c r="Q33" s="444">
        <f t="shared" si="6"/>
        <v>0.9519047619047617</v>
      </c>
      <c r="R33" s="615"/>
      <c r="S33" s="34">
        <v>0.42291666666666655</v>
      </c>
      <c r="T33" s="34">
        <v>0.49583333333333324</v>
      </c>
      <c r="U33" s="445">
        <f t="shared" si="26"/>
        <v>6.9999999999999751</v>
      </c>
      <c r="V33" s="456">
        <f t="shared" si="25"/>
        <v>105.00000000000003</v>
      </c>
      <c r="W33" s="16">
        <f>T33</f>
        <v>0.49583333333333324</v>
      </c>
      <c r="X33" s="16">
        <f>S34</f>
        <v>0.53749999999999987</v>
      </c>
      <c r="Y33" s="16"/>
      <c r="Z33" s="16"/>
      <c r="AA33" s="617"/>
      <c r="AB33" s="617"/>
      <c r="AC33" s="35"/>
      <c r="AD33" s="18"/>
      <c r="AE33" s="14">
        <f t="shared" si="8"/>
        <v>-115.42857142857201</v>
      </c>
      <c r="AF33" s="444">
        <f t="shared" si="9"/>
        <v>0.9519047619047617</v>
      </c>
      <c r="AG33" s="615"/>
    </row>
    <row r="34" spans="1:33" ht="15.75" customHeight="1">
      <c r="A34" s="641" t="s">
        <v>10</v>
      </c>
      <c r="B34" s="29" t="s">
        <v>32</v>
      </c>
      <c r="C34" s="640" t="s">
        <v>33</v>
      </c>
      <c r="D34" s="640"/>
      <c r="E34" s="29">
        <v>31.29</v>
      </c>
      <c r="F34" s="457">
        <v>3479</v>
      </c>
      <c r="G34" s="445">
        <f t="shared" si="23"/>
        <v>108857.91</v>
      </c>
      <c r="H34" s="33" t="s">
        <v>57</v>
      </c>
      <c r="I34" s="455">
        <v>18</v>
      </c>
      <c r="J34" s="31">
        <v>2400</v>
      </c>
      <c r="K34" s="12">
        <f t="shared" si="1"/>
        <v>133.33333333333334</v>
      </c>
      <c r="L34" s="455">
        <v>18</v>
      </c>
      <c r="M34" s="13">
        <f t="shared" si="24"/>
        <v>2293.8461538461538</v>
      </c>
      <c r="N34" s="12">
        <f t="shared" si="3"/>
        <v>127.43589743589743</v>
      </c>
      <c r="O34" s="14">
        <f t="shared" si="4"/>
        <v>0</v>
      </c>
      <c r="P34" s="15">
        <f t="shared" si="5"/>
        <v>-5.897435897435912</v>
      </c>
      <c r="Q34" s="444">
        <f t="shared" si="6"/>
        <v>0.9557692307692307</v>
      </c>
      <c r="R34" s="615"/>
      <c r="S34" s="34">
        <v>0.53749999999999987</v>
      </c>
      <c r="T34" s="34">
        <v>0.60069444444444431</v>
      </c>
      <c r="U34" s="445">
        <f t="shared" si="26"/>
        <v>59.999999999999943</v>
      </c>
      <c r="V34" s="456">
        <f t="shared" si="25"/>
        <v>91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-106.15384615384619</v>
      </c>
      <c r="AF34" s="444">
        <f t="shared" si="9"/>
        <v>0.9557692307692307</v>
      </c>
      <c r="AG34" s="615"/>
    </row>
    <row r="35" spans="1:33" ht="15.75" customHeight="1">
      <c r="A35" s="641" t="s">
        <v>10</v>
      </c>
      <c r="B35" s="29" t="s">
        <v>32</v>
      </c>
      <c r="C35" s="640" t="s">
        <v>76</v>
      </c>
      <c r="D35" s="640"/>
      <c r="E35" s="29">
        <v>26.18</v>
      </c>
      <c r="F35" s="457">
        <v>3184</v>
      </c>
      <c r="G35" s="445">
        <f t="shared" si="23"/>
        <v>83357.119999999995</v>
      </c>
      <c r="H35" s="33" t="s">
        <v>57</v>
      </c>
      <c r="I35" s="455">
        <v>18</v>
      </c>
      <c r="J35" s="31">
        <v>2400</v>
      </c>
      <c r="K35" s="12">
        <f t="shared" si="1"/>
        <v>133.33333333333334</v>
      </c>
      <c r="L35" s="455">
        <v>18</v>
      </c>
      <c r="M35" s="13">
        <f t="shared" si="24"/>
        <v>2301.6867469879512</v>
      </c>
      <c r="N35" s="12">
        <f t="shared" si="3"/>
        <v>127.87148594377507</v>
      </c>
      <c r="O35" s="14">
        <f t="shared" si="4"/>
        <v>0</v>
      </c>
      <c r="P35" s="15">
        <f t="shared" si="5"/>
        <v>-5.4618473895582724</v>
      </c>
      <c r="Q35" s="444">
        <f t="shared" si="6"/>
        <v>0.95903614457831299</v>
      </c>
      <c r="R35" s="615"/>
      <c r="S35" s="34">
        <v>0.60486111111111096</v>
      </c>
      <c r="T35" s="34">
        <v>0.66249999999999987</v>
      </c>
      <c r="U35" s="445">
        <f t="shared" si="26"/>
        <v>5.9999999999999787</v>
      </c>
      <c r="V35" s="456">
        <f t="shared" si="25"/>
        <v>83.000000000000028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-98.31325301204879</v>
      </c>
      <c r="AF35" s="444">
        <f t="shared" si="9"/>
        <v>0.95903614457831299</v>
      </c>
      <c r="AG35" s="615"/>
    </row>
    <row r="36" spans="1:33" ht="15.75" customHeight="1">
      <c r="A36" s="641" t="s">
        <v>10</v>
      </c>
      <c r="B36" s="29" t="s">
        <v>32</v>
      </c>
      <c r="C36" s="453" t="s">
        <v>77</v>
      </c>
      <c r="D36" s="454"/>
      <c r="E36" s="29">
        <v>26.18</v>
      </c>
      <c r="F36" s="457">
        <v>2414</v>
      </c>
      <c r="G36" s="445">
        <f t="shared" si="23"/>
        <v>63198.52</v>
      </c>
      <c r="H36" s="33" t="s">
        <v>57</v>
      </c>
      <c r="I36" s="455">
        <v>20</v>
      </c>
      <c r="J36" s="31">
        <v>2400</v>
      </c>
      <c r="K36" s="12">
        <f t="shared" si="1"/>
        <v>120</v>
      </c>
      <c r="L36" s="455">
        <v>20</v>
      </c>
      <c r="M36" s="13">
        <f t="shared" si="24"/>
        <v>2299.0476190476215</v>
      </c>
      <c r="N36" s="12">
        <f t="shared" si="3"/>
        <v>114.95238095238108</v>
      </c>
      <c r="O36" s="14">
        <f t="shared" si="4"/>
        <v>0</v>
      </c>
      <c r="P36" s="15">
        <f t="shared" si="5"/>
        <v>-5.0476190476189231</v>
      </c>
      <c r="Q36" s="444">
        <f t="shared" si="6"/>
        <v>0.95793650793650897</v>
      </c>
      <c r="R36" s="615"/>
      <c r="S36" s="34">
        <v>0.66736111111111096</v>
      </c>
      <c r="T36" s="34">
        <v>0.71111111111111092</v>
      </c>
      <c r="U36" s="445">
        <f t="shared" si="26"/>
        <v>6.9999999999999751</v>
      </c>
      <c r="V36" s="456">
        <f t="shared" si="25"/>
        <v>62.999999999999936</v>
      </c>
      <c r="W36" s="16"/>
      <c r="X36" s="16"/>
      <c r="Y36" s="16"/>
      <c r="Z36" s="16"/>
      <c r="AA36" s="451"/>
      <c r="AB36" s="452"/>
      <c r="AC36" s="35"/>
      <c r="AD36" s="18"/>
      <c r="AE36" s="14">
        <f t="shared" si="8"/>
        <v>-100.95238095237846</v>
      </c>
      <c r="AF36" s="444">
        <f t="shared" si="9"/>
        <v>0.95793650793650897</v>
      </c>
      <c r="AG36" s="615"/>
    </row>
    <row r="37" spans="1:33" ht="15.75" customHeight="1">
      <c r="A37" s="641" t="s">
        <v>10</v>
      </c>
      <c r="B37" s="29" t="s">
        <v>6</v>
      </c>
      <c r="C37" s="618"/>
      <c r="D37" s="618"/>
      <c r="E37" s="446"/>
      <c r="F37" s="457"/>
      <c r="G37" s="445"/>
      <c r="H37" s="457"/>
      <c r="I37" s="23">
        <v>17.75</v>
      </c>
      <c r="J37" s="31">
        <v>2400</v>
      </c>
      <c r="K37" s="12">
        <f t="shared" si="1"/>
        <v>135.21126760563379</v>
      </c>
      <c r="L37" s="23">
        <v>17.75</v>
      </c>
      <c r="M37" s="13">
        <f>AVERAGE(M29:M36)</f>
        <v>2294.0251654373828</v>
      </c>
      <c r="N37" s="12">
        <f t="shared" si="3"/>
        <v>129.24085439083848</v>
      </c>
      <c r="O37" s="14">
        <f t="shared" si="4"/>
        <v>0</v>
      </c>
      <c r="P37" s="15">
        <f t="shared" si="5"/>
        <v>-5.9704132147953146</v>
      </c>
      <c r="Q37" s="444">
        <f t="shared" si="6"/>
        <v>0.95584381893224302</v>
      </c>
      <c r="R37" s="615"/>
      <c r="S37" s="34"/>
      <c r="T37" s="34"/>
      <c r="U37" s="445"/>
      <c r="V37" s="456"/>
      <c r="W37" s="445"/>
      <c r="X37" s="445"/>
      <c r="Y37" s="24">
        <f>SUM(Y29:Y36)</f>
        <v>0</v>
      </c>
      <c r="Z37" s="24">
        <f>SUM(Z29:Z36)</f>
        <v>0</v>
      </c>
      <c r="AA37" s="614"/>
      <c r="AB37" s="614"/>
      <c r="AC37" s="24">
        <v>8</v>
      </c>
      <c r="AD37" s="24">
        <f>SUM(AD29:AD36)</f>
        <v>0</v>
      </c>
      <c r="AE37" s="14">
        <f t="shared" si="8"/>
        <v>-105.97483456261716</v>
      </c>
      <c r="AF37" s="444">
        <f t="shared" si="9"/>
        <v>0.95584381893224279</v>
      </c>
      <c r="AG37" s="615"/>
    </row>
    <row r="38" spans="1:33" ht="15.75" customHeight="1">
      <c r="A38" s="638" t="s">
        <v>11</v>
      </c>
      <c r="B38" s="29" t="s">
        <v>32</v>
      </c>
      <c r="C38" s="616" t="s">
        <v>77</v>
      </c>
      <c r="D38" s="616"/>
      <c r="E38" s="29">
        <v>26.18</v>
      </c>
      <c r="F38" s="457">
        <v>3400</v>
      </c>
      <c r="G38" s="445">
        <f t="shared" ref="G38:G44" si="27">E38*F38</f>
        <v>89012</v>
      </c>
      <c r="H38" s="33">
        <v>2</v>
      </c>
      <c r="I38" s="455">
        <v>20</v>
      </c>
      <c r="J38" s="31">
        <v>2400</v>
      </c>
      <c r="K38" s="12">
        <f t="shared" si="1"/>
        <v>120</v>
      </c>
      <c r="L38" s="455">
        <v>20</v>
      </c>
      <c r="M38" s="13">
        <f t="shared" ref="M38:M44" si="28">F38/V38*60</f>
        <v>2292.1348314606748</v>
      </c>
      <c r="N38" s="12">
        <f t="shared" si="3"/>
        <v>114.60674157303374</v>
      </c>
      <c r="O38" s="14">
        <f t="shared" si="4"/>
        <v>0</v>
      </c>
      <c r="P38" s="15">
        <f t="shared" si="5"/>
        <v>-5.3932584269662556</v>
      </c>
      <c r="Q38" s="444">
        <f t="shared" si="6"/>
        <v>0.95505617977528123</v>
      </c>
      <c r="R38" s="615">
        <f>Q45</f>
        <v>0.9542212565525191</v>
      </c>
      <c r="S38" s="34">
        <v>8.3333333333333329E-2</v>
      </c>
      <c r="T38" s="34">
        <v>0.14513888888888887</v>
      </c>
      <c r="U38" s="445"/>
      <c r="V38" s="456">
        <f t="shared" ref="V38:V44" si="29">(T38-S38)*24*60</f>
        <v>88.999999999999972</v>
      </c>
      <c r="W38" s="21">
        <f>T38</f>
        <v>0.14513888888888887</v>
      </c>
      <c r="X38" s="21">
        <f>S39</f>
        <v>0.16319444444444442</v>
      </c>
      <c r="Y38" s="21"/>
      <c r="Z38" s="21"/>
      <c r="AA38" s="617"/>
      <c r="AB38" s="617"/>
      <c r="AC38" s="35">
        <v>7</v>
      </c>
      <c r="AD38" s="18"/>
      <c r="AE38" s="14">
        <f t="shared" si="8"/>
        <v>-107.86516853932517</v>
      </c>
      <c r="AF38" s="444">
        <f t="shared" si="9"/>
        <v>0.95505617977528123</v>
      </c>
      <c r="AG38" s="615">
        <f>AF45</f>
        <v>0.9542212565525191</v>
      </c>
    </row>
    <row r="39" spans="1:33" ht="15.75" customHeight="1">
      <c r="A39" s="638" t="s">
        <v>11</v>
      </c>
      <c r="B39" s="29" t="s">
        <v>32</v>
      </c>
      <c r="C39" s="616" t="s">
        <v>37</v>
      </c>
      <c r="D39" s="616"/>
      <c r="E39" s="29">
        <v>24.43</v>
      </c>
      <c r="F39" s="457">
        <v>6426</v>
      </c>
      <c r="G39" s="445">
        <f t="shared" si="27"/>
        <v>156987.18</v>
      </c>
      <c r="H39" s="33" t="s">
        <v>57</v>
      </c>
      <c r="I39" s="455">
        <v>14</v>
      </c>
      <c r="J39" s="31">
        <v>2400</v>
      </c>
      <c r="K39" s="12">
        <f t="shared" si="1"/>
        <v>171.42857142857142</v>
      </c>
      <c r="L39" s="455">
        <v>14</v>
      </c>
      <c r="M39" s="13">
        <f t="shared" si="28"/>
        <v>2281.4201183431951</v>
      </c>
      <c r="N39" s="12">
        <f t="shared" si="3"/>
        <v>162.95857988165679</v>
      </c>
      <c r="O39" s="14">
        <f t="shared" si="4"/>
        <v>0</v>
      </c>
      <c r="P39" s="15">
        <f t="shared" si="5"/>
        <v>-8.4699915469146276</v>
      </c>
      <c r="Q39" s="444">
        <f t="shared" si="6"/>
        <v>0.9505917159763313</v>
      </c>
      <c r="R39" s="615"/>
      <c r="S39" s="34">
        <v>0.16319444444444442</v>
      </c>
      <c r="T39" s="34">
        <v>0.28055555555555556</v>
      </c>
      <c r="U39" s="445">
        <f t="shared" ref="U39:U44" si="30">(S39-T38)*24*60</f>
        <v>25.999999999999986</v>
      </c>
      <c r="V39" s="456">
        <f t="shared" si="29"/>
        <v>169.00000000000003</v>
      </c>
      <c r="W39" s="445"/>
      <c r="X39" s="445"/>
      <c r="Y39" s="445"/>
      <c r="Z39" s="445"/>
      <c r="AA39" s="617"/>
      <c r="AB39" s="617"/>
      <c r="AC39" s="35"/>
      <c r="AD39" s="18"/>
      <c r="AE39" s="14">
        <f t="shared" si="8"/>
        <v>-118.5798816568049</v>
      </c>
      <c r="AF39" s="444">
        <f t="shared" si="9"/>
        <v>0.9505917159763313</v>
      </c>
      <c r="AG39" s="615"/>
    </row>
    <row r="40" spans="1:33">
      <c r="A40" s="639" t="s">
        <v>11</v>
      </c>
      <c r="B40" s="29" t="s">
        <v>32</v>
      </c>
      <c r="C40" s="616" t="s">
        <v>2090</v>
      </c>
      <c r="D40" s="616"/>
      <c r="E40" s="29">
        <v>25.98</v>
      </c>
      <c r="F40" s="457">
        <v>4200</v>
      </c>
      <c r="G40" s="445">
        <f t="shared" si="27"/>
        <v>109116</v>
      </c>
      <c r="H40" s="33">
        <v>2</v>
      </c>
      <c r="I40" s="455">
        <v>20</v>
      </c>
      <c r="J40" s="31">
        <v>2400</v>
      </c>
      <c r="K40" s="12">
        <f t="shared" si="1"/>
        <v>120</v>
      </c>
      <c r="L40" s="455">
        <v>20</v>
      </c>
      <c r="M40" s="13">
        <f t="shared" si="28"/>
        <v>2290.909090909091</v>
      </c>
      <c r="N40" s="12">
        <f t="shared" si="3"/>
        <v>114.54545454545455</v>
      </c>
      <c r="O40" s="14">
        <f t="shared" si="4"/>
        <v>0</v>
      </c>
      <c r="P40" s="15">
        <f t="shared" si="5"/>
        <v>-5.4545454545454533</v>
      </c>
      <c r="Q40" s="444">
        <f t="shared" si="6"/>
        <v>0.95454545454545459</v>
      </c>
      <c r="R40" s="615"/>
      <c r="S40" s="34">
        <v>0.28402777777777777</v>
      </c>
      <c r="T40" s="34">
        <v>0.36041666666666666</v>
      </c>
      <c r="U40" s="445">
        <f t="shared" si="30"/>
        <v>4.9999999999999822</v>
      </c>
      <c r="V40" s="456">
        <f t="shared" si="29"/>
        <v>110.00000000000001</v>
      </c>
      <c r="W40" s="445"/>
      <c r="X40" s="445"/>
      <c r="Y40" s="445"/>
      <c r="Z40" s="445"/>
      <c r="AA40" s="617"/>
      <c r="AB40" s="617"/>
      <c r="AC40" s="35"/>
      <c r="AD40" s="18"/>
      <c r="AE40" s="14">
        <f t="shared" si="8"/>
        <v>-109.09090909090901</v>
      </c>
      <c r="AF40" s="444">
        <f t="shared" si="9"/>
        <v>0.95454545454545459</v>
      </c>
      <c r="AG40" s="615"/>
    </row>
    <row r="41" spans="1:33">
      <c r="A41" s="639" t="s">
        <v>11</v>
      </c>
      <c r="B41" s="29" t="s">
        <v>32</v>
      </c>
      <c r="C41" s="616" t="s">
        <v>39</v>
      </c>
      <c r="D41" s="616"/>
      <c r="E41" s="29">
        <v>34.1</v>
      </c>
      <c r="F41" s="457">
        <v>2500</v>
      </c>
      <c r="G41" s="445">
        <f t="shared" si="27"/>
        <v>85250</v>
      </c>
      <c r="H41" s="33">
        <v>2</v>
      </c>
      <c r="I41" s="455">
        <v>17</v>
      </c>
      <c r="J41" s="31">
        <v>1600</v>
      </c>
      <c r="K41" s="12">
        <f t="shared" si="1"/>
        <v>94.117647058823536</v>
      </c>
      <c r="L41" s="455">
        <v>17</v>
      </c>
      <c r="M41" s="13">
        <f t="shared" si="28"/>
        <v>1530.6122448979597</v>
      </c>
      <c r="N41" s="12">
        <f t="shared" si="3"/>
        <v>90.03601440576233</v>
      </c>
      <c r="O41" s="14">
        <f t="shared" si="4"/>
        <v>0</v>
      </c>
      <c r="P41" s="15">
        <f t="shared" si="5"/>
        <v>-4.0816326530612059</v>
      </c>
      <c r="Q41" s="444">
        <f t="shared" si="6"/>
        <v>0.95663265306122469</v>
      </c>
      <c r="R41" s="615"/>
      <c r="S41" s="34">
        <v>0.36388888888888887</v>
      </c>
      <c r="T41" s="34">
        <v>0.43194444444444441</v>
      </c>
      <c r="U41" s="445">
        <f t="shared" si="30"/>
        <v>4.9999999999999822</v>
      </c>
      <c r="V41" s="456">
        <f t="shared" si="29"/>
        <v>97.999999999999972</v>
      </c>
      <c r="W41" s="16"/>
      <c r="X41" s="16"/>
      <c r="Y41" s="16"/>
      <c r="Z41" s="16"/>
      <c r="AA41" s="617"/>
      <c r="AB41" s="617"/>
      <c r="AC41" s="35"/>
      <c r="AD41" s="18"/>
      <c r="AE41" s="14">
        <f t="shared" si="8"/>
        <v>-69.387755102040273</v>
      </c>
      <c r="AF41" s="444">
        <f t="shared" si="9"/>
        <v>0.9566326530612248</v>
      </c>
      <c r="AG41" s="615"/>
    </row>
    <row r="42" spans="1:33">
      <c r="A42" s="639" t="s">
        <v>11</v>
      </c>
      <c r="B42" s="29" t="s">
        <v>32</v>
      </c>
      <c r="C42" s="616" t="s">
        <v>84</v>
      </c>
      <c r="D42" s="616"/>
      <c r="E42" s="29">
        <v>20.21</v>
      </c>
      <c r="F42" s="457">
        <v>3323</v>
      </c>
      <c r="G42" s="445">
        <f t="shared" si="27"/>
        <v>67157.83</v>
      </c>
      <c r="H42" s="33" t="s">
        <v>57</v>
      </c>
      <c r="I42" s="455">
        <v>18</v>
      </c>
      <c r="J42" s="31">
        <v>2400</v>
      </c>
      <c r="K42" s="12">
        <f t="shared" si="1"/>
        <v>133.33333333333334</v>
      </c>
      <c r="L42" s="455">
        <v>18</v>
      </c>
      <c r="M42" s="13">
        <f t="shared" si="28"/>
        <v>2291.724137931034</v>
      </c>
      <c r="N42" s="12">
        <f t="shared" si="3"/>
        <v>127.31800766283521</v>
      </c>
      <c r="O42" s="14">
        <f t="shared" si="4"/>
        <v>0</v>
      </c>
      <c r="P42" s="15">
        <f t="shared" si="5"/>
        <v>-6.0153256704981288</v>
      </c>
      <c r="Q42" s="444">
        <f t="shared" si="6"/>
        <v>0.95488505747126406</v>
      </c>
      <c r="R42" s="615"/>
      <c r="S42" s="34">
        <v>0.43541666666666662</v>
      </c>
      <c r="T42" s="34">
        <v>0.49583333333333329</v>
      </c>
      <c r="U42" s="445">
        <f t="shared" si="30"/>
        <v>4.9999999999999822</v>
      </c>
      <c r="V42" s="456">
        <f t="shared" si="29"/>
        <v>87.000000000000014</v>
      </c>
      <c r="W42" s="16">
        <f>T42</f>
        <v>0.49583333333333329</v>
      </c>
      <c r="X42" s="16">
        <f>S43</f>
        <v>0.53472222222222221</v>
      </c>
      <c r="Y42" s="16"/>
      <c r="Z42" s="16"/>
      <c r="AA42" s="617"/>
      <c r="AB42" s="617"/>
      <c r="AC42" s="35"/>
      <c r="AD42" s="18"/>
      <c r="AE42" s="14">
        <f t="shared" si="8"/>
        <v>-108.27586206896603</v>
      </c>
      <c r="AF42" s="444">
        <f t="shared" si="9"/>
        <v>0.95488505747126418</v>
      </c>
      <c r="AG42" s="615"/>
    </row>
    <row r="43" spans="1:33">
      <c r="A43" s="639" t="s">
        <v>2183</v>
      </c>
      <c r="B43" s="29" t="s">
        <v>32</v>
      </c>
      <c r="C43" s="616" t="s">
        <v>39</v>
      </c>
      <c r="D43" s="616"/>
      <c r="E43" s="29">
        <v>34.1</v>
      </c>
      <c r="F43" s="457">
        <v>3626</v>
      </c>
      <c r="G43" s="445">
        <f t="shared" si="27"/>
        <v>123646.6</v>
      </c>
      <c r="H43" s="33" t="s">
        <v>57</v>
      </c>
      <c r="I43" s="455">
        <v>17</v>
      </c>
      <c r="J43" s="31">
        <v>1600</v>
      </c>
      <c r="K43" s="12">
        <f t="shared" si="1"/>
        <v>94.117647058823536</v>
      </c>
      <c r="L43" s="455">
        <v>17</v>
      </c>
      <c r="M43" s="13">
        <f t="shared" si="28"/>
        <v>1532.1126760563384</v>
      </c>
      <c r="N43" s="12">
        <f t="shared" si="3"/>
        <v>90.124275062137556</v>
      </c>
      <c r="O43" s="14">
        <f t="shared" si="4"/>
        <v>0</v>
      </c>
      <c r="P43" s="15">
        <f t="shared" si="5"/>
        <v>-3.9933719966859798</v>
      </c>
      <c r="Q43" s="444">
        <f t="shared" si="6"/>
        <v>0.95757042253521152</v>
      </c>
      <c r="R43" s="615"/>
      <c r="S43" s="34">
        <v>0.53472222222222221</v>
      </c>
      <c r="T43" s="34">
        <v>0.6333333333333333</v>
      </c>
      <c r="U43" s="445">
        <f t="shared" si="30"/>
        <v>56.000000000000043</v>
      </c>
      <c r="V43" s="456">
        <f t="shared" si="29"/>
        <v>141.99999999999997</v>
      </c>
      <c r="W43" s="16"/>
      <c r="X43" s="16"/>
      <c r="Y43" s="16"/>
      <c r="Z43" s="16"/>
      <c r="AA43" s="617"/>
      <c r="AB43" s="617"/>
      <c r="AC43" s="35"/>
      <c r="AD43" s="18"/>
      <c r="AE43" s="14">
        <f t="shared" si="8"/>
        <v>-67.887323943661613</v>
      </c>
      <c r="AF43" s="444">
        <f t="shared" si="9"/>
        <v>0.95757042253521152</v>
      </c>
      <c r="AG43" s="615"/>
    </row>
    <row r="44" spans="1:33">
      <c r="A44" s="639" t="s">
        <v>11</v>
      </c>
      <c r="B44" s="29" t="s">
        <v>32</v>
      </c>
      <c r="C44" s="616" t="s">
        <v>2090</v>
      </c>
      <c r="D44" s="616"/>
      <c r="E44" s="29">
        <v>25.98</v>
      </c>
      <c r="F44" s="457">
        <v>3047</v>
      </c>
      <c r="G44" s="445">
        <f t="shared" si="27"/>
        <v>79161.06</v>
      </c>
      <c r="H44" s="33" t="s">
        <v>57</v>
      </c>
      <c r="I44" s="455">
        <v>20</v>
      </c>
      <c r="J44" s="31">
        <v>2400</v>
      </c>
      <c r="K44" s="12">
        <f t="shared" si="1"/>
        <v>120</v>
      </c>
      <c r="L44" s="455">
        <v>20</v>
      </c>
      <c r="M44" s="13">
        <f t="shared" si="28"/>
        <v>2285.2499999999991</v>
      </c>
      <c r="N44" s="12">
        <f t="shared" si="3"/>
        <v>114.26249999999996</v>
      </c>
      <c r="O44" s="14">
        <f t="shared" si="4"/>
        <v>0</v>
      </c>
      <c r="P44" s="15">
        <f t="shared" si="5"/>
        <v>-5.7375000000000398</v>
      </c>
      <c r="Q44" s="444">
        <f t="shared" si="6"/>
        <v>0.95218749999999963</v>
      </c>
      <c r="R44" s="615"/>
      <c r="S44" s="34">
        <v>0.6381944444444444</v>
      </c>
      <c r="T44" s="34">
        <v>0.69374999999999998</v>
      </c>
      <c r="U44" s="445">
        <f t="shared" si="30"/>
        <v>6.9999999999999751</v>
      </c>
      <c r="V44" s="456">
        <f t="shared" si="29"/>
        <v>80.000000000000028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-114.75000000000091</v>
      </c>
      <c r="AF44" s="444">
        <f t="shared" si="9"/>
        <v>0.95218749999999963</v>
      </c>
      <c r="AG44" s="615"/>
    </row>
    <row r="45" spans="1:33">
      <c r="A45" s="639" t="s">
        <v>11</v>
      </c>
      <c r="B45" s="30" t="s">
        <v>2184</v>
      </c>
      <c r="C45" s="618"/>
      <c r="D45" s="618"/>
      <c r="E45" s="446"/>
      <c r="F45" s="30"/>
      <c r="G45" s="12"/>
      <c r="H45" s="457"/>
      <c r="I45" s="23">
        <v>18</v>
      </c>
      <c r="J45" s="31">
        <v>2171.4285714285716</v>
      </c>
      <c r="K45" s="12">
        <f t="shared" si="1"/>
        <v>120.63492063492065</v>
      </c>
      <c r="L45" s="23">
        <v>18</v>
      </c>
      <c r="M45" s="13">
        <f>AVERAGE(M38:M44)</f>
        <v>2072.023299942613</v>
      </c>
      <c r="N45" s="12">
        <f t="shared" si="3"/>
        <v>115.11240555236739</v>
      </c>
      <c r="O45" s="14">
        <f t="shared" si="4"/>
        <v>0</v>
      </c>
      <c r="P45" s="15">
        <f t="shared" si="5"/>
        <v>-5.5225150825532552</v>
      </c>
      <c r="Q45" s="444">
        <f t="shared" si="6"/>
        <v>0.9542212565525191</v>
      </c>
      <c r="R45" s="615"/>
      <c r="S45" s="34"/>
      <c r="T45" s="34"/>
      <c r="U45" s="12"/>
      <c r="V45" s="456"/>
      <c r="W45" s="12"/>
      <c r="X45" s="12"/>
      <c r="Y45" s="24">
        <f>SUM(Y38:Y44)</f>
        <v>0</v>
      </c>
      <c r="Z45" s="24">
        <f>SUM(Z38:Z44)</f>
        <v>0</v>
      </c>
      <c r="AA45" s="614"/>
      <c r="AB45" s="614"/>
      <c r="AC45" s="24">
        <v>7</v>
      </c>
      <c r="AD45" s="24">
        <f>SUM(AD38:AD44)</f>
        <v>0</v>
      </c>
      <c r="AE45" s="14">
        <f t="shared" si="8"/>
        <v>-99.405271485958565</v>
      </c>
      <c r="AF45" s="444">
        <f t="shared" si="9"/>
        <v>0.9542212565525191</v>
      </c>
      <c r="AG45" s="615"/>
    </row>
    <row r="46" spans="1:33" ht="15.75" customHeight="1">
      <c r="A46" s="632" t="s">
        <v>12</v>
      </c>
      <c r="B46" s="29" t="s">
        <v>40</v>
      </c>
      <c r="C46" s="622" t="s">
        <v>41</v>
      </c>
      <c r="D46" s="623"/>
      <c r="E46" s="29">
        <v>37.880000000000003</v>
      </c>
      <c r="F46" s="457">
        <v>543</v>
      </c>
      <c r="G46" s="445">
        <f t="shared" ref="G46:G49" si="31">E46*F46</f>
        <v>20568.84</v>
      </c>
      <c r="H46" s="33" t="s">
        <v>57</v>
      </c>
      <c r="I46" s="455">
        <v>13</v>
      </c>
      <c r="J46" s="31">
        <v>2000</v>
      </c>
      <c r="K46" s="12">
        <f t="shared" si="1"/>
        <v>153.84615384615384</v>
      </c>
      <c r="L46" s="455">
        <v>13</v>
      </c>
      <c r="M46" s="13">
        <f t="shared" ref="M46:M49" si="32">F46/V46*60</f>
        <v>1916.4705882352941</v>
      </c>
      <c r="N46" s="13">
        <f t="shared" si="3"/>
        <v>147.42081447963801</v>
      </c>
      <c r="O46" s="14">
        <f t="shared" si="4"/>
        <v>0</v>
      </c>
      <c r="P46" s="15">
        <f t="shared" si="5"/>
        <v>-6.4253393665158285</v>
      </c>
      <c r="Q46" s="444">
        <f t="shared" si="6"/>
        <v>0.95823529411764707</v>
      </c>
      <c r="R46" s="635">
        <f>Q50</f>
        <v>0.95637452844022375</v>
      </c>
      <c r="S46" s="34">
        <v>8.3333333333333329E-2</v>
      </c>
      <c r="T46" s="34">
        <v>9.5138888888888884E-2</v>
      </c>
      <c r="U46" s="21"/>
      <c r="V46" s="456">
        <f t="shared" ref="V46:V49" si="33">(T46-S46)*24*60</f>
        <v>17</v>
      </c>
      <c r="W46" s="16">
        <f>T46</f>
        <v>9.5138888888888884E-2</v>
      </c>
      <c r="X46" s="16">
        <f>S47</f>
        <v>0.11527777777777777</v>
      </c>
      <c r="Y46" s="19"/>
      <c r="Z46" s="19"/>
      <c r="AA46" s="624"/>
      <c r="AB46" s="625"/>
      <c r="AC46" s="35">
        <v>4</v>
      </c>
      <c r="AD46" s="18"/>
      <c r="AE46" s="14">
        <f t="shared" si="8"/>
        <v>-83.529411764705856</v>
      </c>
      <c r="AF46" s="444">
        <f t="shared" si="9"/>
        <v>0.95823529411764707</v>
      </c>
      <c r="AG46" s="635">
        <f>AF50</f>
        <v>0.95637452844022386</v>
      </c>
    </row>
    <row r="47" spans="1:33" ht="15.75" customHeight="1">
      <c r="A47" s="633" t="s">
        <v>12</v>
      </c>
      <c r="B47" s="29" t="s">
        <v>40</v>
      </c>
      <c r="C47" s="622" t="s">
        <v>42</v>
      </c>
      <c r="D47" s="623"/>
      <c r="E47" s="29">
        <v>35.119999999999997</v>
      </c>
      <c r="F47" s="457">
        <v>5121</v>
      </c>
      <c r="G47" s="445">
        <f t="shared" si="31"/>
        <v>179849.52</v>
      </c>
      <c r="H47" s="33" t="s">
        <v>57</v>
      </c>
      <c r="I47" s="455">
        <v>10</v>
      </c>
      <c r="J47" s="31">
        <v>3000</v>
      </c>
      <c r="K47" s="12">
        <f t="shared" si="1"/>
        <v>300</v>
      </c>
      <c r="L47" s="455">
        <v>10</v>
      </c>
      <c r="M47" s="13">
        <f t="shared" si="32"/>
        <v>2871.5887850467288</v>
      </c>
      <c r="N47" s="13">
        <f t="shared" si="3"/>
        <v>287.15887850467288</v>
      </c>
      <c r="O47" s="14">
        <f t="shared" si="4"/>
        <v>0</v>
      </c>
      <c r="P47" s="15">
        <f t="shared" si="5"/>
        <v>-12.841121495327116</v>
      </c>
      <c r="Q47" s="444">
        <f t="shared" si="6"/>
        <v>0.95719626168224292</v>
      </c>
      <c r="R47" s="636"/>
      <c r="S47" s="34">
        <v>0.11527777777777777</v>
      </c>
      <c r="T47" s="34">
        <v>0.18958333333333333</v>
      </c>
      <c r="U47" s="445">
        <f t="shared" ref="U47:U49" si="34">(S47-T46)*24*60</f>
        <v>28.999999999999996</v>
      </c>
      <c r="V47" s="456">
        <f t="shared" si="33"/>
        <v>107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-128.41121495327116</v>
      </c>
      <c r="AF47" s="444">
        <f t="shared" si="9"/>
        <v>0.95719626168224292</v>
      </c>
      <c r="AG47" s="636"/>
    </row>
    <row r="48" spans="1:33" ht="15.75" customHeight="1">
      <c r="A48" s="633" t="s">
        <v>12</v>
      </c>
      <c r="B48" s="29" t="s">
        <v>40</v>
      </c>
      <c r="C48" s="622" t="s">
        <v>43</v>
      </c>
      <c r="D48" s="623"/>
      <c r="E48" s="29">
        <v>21.13</v>
      </c>
      <c r="F48" s="457">
        <v>4977</v>
      </c>
      <c r="G48" s="445">
        <f t="shared" si="31"/>
        <v>105164.01</v>
      </c>
      <c r="H48" s="33" t="s">
        <v>57</v>
      </c>
      <c r="I48" s="455">
        <v>10</v>
      </c>
      <c r="J48" s="31">
        <v>3000</v>
      </c>
      <c r="K48" s="12">
        <f t="shared" si="1"/>
        <v>300</v>
      </c>
      <c r="L48" s="455">
        <v>10</v>
      </c>
      <c r="M48" s="13">
        <f t="shared" si="32"/>
        <v>2871.3461538461534</v>
      </c>
      <c r="N48" s="13">
        <f t="shared" si="3"/>
        <v>287.13461538461536</v>
      </c>
      <c r="O48" s="14">
        <f t="shared" si="4"/>
        <v>0</v>
      </c>
      <c r="P48" s="15">
        <f t="shared" si="5"/>
        <v>-12.865384615384642</v>
      </c>
      <c r="Q48" s="444">
        <f t="shared" si="6"/>
        <v>0.95711538461538448</v>
      </c>
      <c r="R48" s="636"/>
      <c r="S48" s="34">
        <v>0.19305555555555554</v>
      </c>
      <c r="T48" s="34">
        <v>0.26527777777777778</v>
      </c>
      <c r="U48" s="445">
        <f t="shared" si="34"/>
        <v>4.9999999999999822</v>
      </c>
      <c r="V48" s="456">
        <f t="shared" si="33"/>
        <v>104.00000000000003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-128.65384615384664</v>
      </c>
      <c r="AF48" s="444">
        <f t="shared" si="9"/>
        <v>0.95711538461538448</v>
      </c>
      <c r="AG48" s="636"/>
    </row>
    <row r="49" spans="1:33" ht="15.75" customHeight="1">
      <c r="A49" s="633" t="s">
        <v>2185</v>
      </c>
      <c r="B49" s="29" t="s">
        <v>40</v>
      </c>
      <c r="C49" s="622" t="s">
        <v>44</v>
      </c>
      <c r="D49" s="623"/>
      <c r="E49" s="29">
        <v>27.17</v>
      </c>
      <c r="F49" s="457">
        <v>6675</v>
      </c>
      <c r="G49" s="445">
        <f t="shared" si="31"/>
        <v>181359.75</v>
      </c>
      <c r="H49" s="33" t="s">
        <v>57</v>
      </c>
      <c r="I49" s="455">
        <v>10</v>
      </c>
      <c r="J49" s="31">
        <v>3000</v>
      </c>
      <c r="K49" s="12">
        <f t="shared" si="1"/>
        <v>300</v>
      </c>
      <c r="L49" s="455">
        <v>10</v>
      </c>
      <c r="M49" s="13">
        <f t="shared" si="32"/>
        <v>2860.7142857142862</v>
      </c>
      <c r="N49" s="13">
        <f t="shared" si="3"/>
        <v>286.07142857142861</v>
      </c>
      <c r="O49" s="14">
        <f t="shared" si="4"/>
        <v>0</v>
      </c>
      <c r="P49" s="15">
        <f t="shared" si="5"/>
        <v>-13.928571428571388</v>
      </c>
      <c r="Q49" s="444">
        <f t="shared" si="6"/>
        <v>0.95357142857142874</v>
      </c>
      <c r="R49" s="636"/>
      <c r="S49" s="34">
        <v>0.26874999999999999</v>
      </c>
      <c r="T49" s="34">
        <v>0.3659722222222222</v>
      </c>
      <c r="U49" s="445">
        <f t="shared" si="34"/>
        <v>4.9999999999999822</v>
      </c>
      <c r="V49" s="456">
        <f t="shared" si="33"/>
        <v>139.99999999999997</v>
      </c>
      <c r="W49" s="16"/>
      <c r="X49" s="16"/>
      <c r="Y49" s="19"/>
      <c r="Z49" s="19"/>
      <c r="AA49" s="624"/>
      <c r="AB49" s="625"/>
      <c r="AC49" s="35"/>
      <c r="AD49" s="18"/>
      <c r="AE49" s="14">
        <f t="shared" si="8"/>
        <v>-139.28571428571377</v>
      </c>
      <c r="AF49" s="444">
        <f t="shared" si="9"/>
        <v>0.95357142857142874</v>
      </c>
      <c r="AG49" s="636"/>
    </row>
    <row r="50" spans="1:33" ht="15.75" customHeight="1">
      <c r="A50" s="634" t="s">
        <v>12</v>
      </c>
      <c r="B50" s="29" t="s">
        <v>6</v>
      </c>
      <c r="C50" s="612"/>
      <c r="D50" s="613"/>
      <c r="E50" s="448"/>
      <c r="F50" s="457"/>
      <c r="G50" s="445"/>
      <c r="H50" s="457"/>
      <c r="I50" s="23">
        <v>10.75</v>
      </c>
      <c r="J50" s="31">
        <v>2750</v>
      </c>
      <c r="K50" s="12">
        <f t="shared" si="1"/>
        <v>255.81395348837211</v>
      </c>
      <c r="L50" s="23">
        <v>10.75</v>
      </c>
      <c r="M50" s="13">
        <f>AVERAGE(M46:M49)</f>
        <v>2630.0299532106155</v>
      </c>
      <c r="N50" s="12">
        <f t="shared" si="3"/>
        <v>244.65394913587122</v>
      </c>
      <c r="O50" s="14">
        <f t="shared" si="4"/>
        <v>0</v>
      </c>
      <c r="P50" s="15">
        <f t="shared" si="5"/>
        <v>-11.160004352500891</v>
      </c>
      <c r="Q50" s="444">
        <f t="shared" si="6"/>
        <v>0.95637452844022375</v>
      </c>
      <c r="R50" s="637"/>
      <c r="S50" s="34"/>
      <c r="T50" s="34"/>
      <c r="U50" s="445"/>
      <c r="V50" s="456"/>
      <c r="W50" s="16"/>
      <c r="X50" s="16"/>
      <c r="Y50" s="24">
        <f>SUM(Y46:Y49)</f>
        <v>0</v>
      </c>
      <c r="Z50" s="24">
        <f>SUM(Z46:Z49)</f>
        <v>0</v>
      </c>
      <c r="AA50" s="628"/>
      <c r="AB50" s="629"/>
      <c r="AC50" s="24">
        <v>4</v>
      </c>
      <c r="AD50" s="24">
        <f>SUM(AD46:AD49)</f>
        <v>0</v>
      </c>
      <c r="AE50" s="14">
        <f t="shared" si="8"/>
        <v>-119.97004678938447</v>
      </c>
      <c r="AF50" s="444">
        <f t="shared" si="9"/>
        <v>0.95637452844022386</v>
      </c>
      <c r="AG50" s="637"/>
    </row>
    <row r="51" spans="1:33" ht="15.75" customHeight="1">
      <c r="A51" s="630" t="s">
        <v>277</v>
      </c>
      <c r="B51" s="29" t="s">
        <v>15</v>
      </c>
      <c r="C51" s="616" t="s">
        <v>46</v>
      </c>
      <c r="D51" s="616"/>
      <c r="E51" s="29">
        <v>56.43</v>
      </c>
      <c r="F51" s="32">
        <v>1413</v>
      </c>
      <c r="G51" s="445">
        <f t="shared" ref="G51:G57" si="35">E51*F51</f>
        <v>79735.59</v>
      </c>
      <c r="H51" s="33" t="s">
        <v>57</v>
      </c>
      <c r="I51" s="455">
        <v>22</v>
      </c>
      <c r="J51" s="31">
        <v>2000</v>
      </c>
      <c r="K51" s="12">
        <f t="shared" si="1"/>
        <v>90.909090909090907</v>
      </c>
      <c r="L51" s="455">
        <v>22</v>
      </c>
      <c r="M51" s="13">
        <f t="shared" ref="M51" si="36">F51/V51*60</f>
        <v>1926.818181818182</v>
      </c>
      <c r="N51" s="13">
        <f t="shared" si="3"/>
        <v>87.582644628099175</v>
      </c>
      <c r="O51" s="14">
        <f t="shared" si="4"/>
        <v>0</v>
      </c>
      <c r="P51" s="15">
        <f t="shared" si="5"/>
        <v>-3.3264462809917319</v>
      </c>
      <c r="Q51" s="444">
        <f t="shared" si="6"/>
        <v>0.96340909090909099</v>
      </c>
      <c r="R51" s="615">
        <f>Q58</f>
        <v>0.95848420608810281</v>
      </c>
      <c r="S51" s="34">
        <v>0.16666666666666666</v>
      </c>
      <c r="T51" s="34">
        <v>0.19722222222222222</v>
      </c>
      <c r="U51" s="21"/>
      <c r="V51" s="456">
        <f t="shared" ref="V51:V57" si="37">(T51-S51)*24*60</f>
        <v>44</v>
      </c>
      <c r="W51" s="16">
        <f>T51</f>
        <v>0.19722222222222222</v>
      </c>
      <c r="X51" s="16">
        <f>S52</f>
        <v>0.21736111111111112</v>
      </c>
      <c r="Y51" s="21"/>
      <c r="Z51" s="21"/>
      <c r="AA51" s="617"/>
      <c r="AB51" s="617"/>
      <c r="AC51" s="35">
        <v>7</v>
      </c>
      <c r="AD51" s="18"/>
      <c r="AE51" s="14">
        <f t="shared" si="8"/>
        <v>-73.181818181818016</v>
      </c>
      <c r="AF51" s="444">
        <f t="shared" si="9"/>
        <v>0.96340909090909099</v>
      </c>
      <c r="AG51" s="615">
        <f>AF58</f>
        <v>0.9584842060881027</v>
      </c>
    </row>
    <row r="52" spans="1:33" ht="15.75" customHeight="1">
      <c r="A52" s="630" t="s">
        <v>277</v>
      </c>
      <c r="B52" s="29" t="s">
        <v>19</v>
      </c>
      <c r="C52" s="616" t="s">
        <v>81</v>
      </c>
      <c r="D52" s="616"/>
      <c r="E52" s="29">
        <v>46</v>
      </c>
      <c r="F52" s="32">
        <v>2817</v>
      </c>
      <c r="G52" s="445">
        <f t="shared" si="35"/>
        <v>129582</v>
      </c>
      <c r="H52" s="33" t="s">
        <v>57</v>
      </c>
      <c r="I52" s="455">
        <v>16</v>
      </c>
      <c r="J52" s="31">
        <v>2000</v>
      </c>
      <c r="K52" s="12">
        <f t="shared" si="1"/>
        <v>125</v>
      </c>
      <c r="L52" s="455">
        <v>16</v>
      </c>
      <c r="M52" s="13">
        <f>F52/V52*60</f>
        <v>1920.681818181818</v>
      </c>
      <c r="N52" s="13">
        <f t="shared" si="3"/>
        <v>120.04261363636363</v>
      </c>
      <c r="O52" s="14">
        <f t="shared" si="4"/>
        <v>0</v>
      </c>
      <c r="P52" s="15">
        <f t="shared" si="5"/>
        <v>-4.957386363636374</v>
      </c>
      <c r="Q52" s="444">
        <f t="shared" si="6"/>
        <v>0.96034090909090897</v>
      </c>
      <c r="R52" s="615"/>
      <c r="S52" s="34">
        <v>0.21736111111111112</v>
      </c>
      <c r="T52" s="34">
        <v>0.27847222222222223</v>
      </c>
      <c r="U52" s="445">
        <f t="shared" ref="U52:U57" si="38">IF(S52=TIME(17,0,0),"",(S52-T51)*24*60)</f>
        <v>29.000000000000018</v>
      </c>
      <c r="V52" s="456">
        <f t="shared" si="37"/>
        <v>88</v>
      </c>
      <c r="W52" s="16"/>
      <c r="X52" s="16"/>
      <c r="Y52" s="16"/>
      <c r="Z52" s="16"/>
      <c r="AA52" s="617"/>
      <c r="AB52" s="617"/>
      <c r="AC52" s="35"/>
      <c r="AD52" s="18"/>
      <c r="AE52" s="14">
        <f t="shared" si="8"/>
        <v>-79.318181818181984</v>
      </c>
      <c r="AF52" s="444">
        <f t="shared" si="9"/>
        <v>0.96034090909090897</v>
      </c>
      <c r="AG52" s="615"/>
    </row>
    <row r="53" spans="1:33" ht="15.75" customHeight="1">
      <c r="A53" s="630" t="s">
        <v>277</v>
      </c>
      <c r="B53" s="29" t="s">
        <v>19</v>
      </c>
      <c r="C53" s="622" t="s">
        <v>945</v>
      </c>
      <c r="D53" s="623"/>
      <c r="E53" s="29">
        <v>46</v>
      </c>
      <c r="F53" s="32">
        <v>4396</v>
      </c>
      <c r="G53" s="445">
        <f t="shared" si="35"/>
        <v>202216</v>
      </c>
      <c r="H53" s="33" t="s">
        <v>57</v>
      </c>
      <c r="I53" s="455">
        <v>17</v>
      </c>
      <c r="J53" s="31">
        <v>2000</v>
      </c>
      <c r="K53" s="12">
        <f t="shared" si="1"/>
        <v>117.64705882352941</v>
      </c>
      <c r="L53" s="455">
        <v>17</v>
      </c>
      <c r="M53" s="13">
        <f t="shared" ref="M53:M57" si="39">F53/V53*60</f>
        <v>1911.304347826087</v>
      </c>
      <c r="N53" s="13">
        <f t="shared" si="3"/>
        <v>112.42966751918159</v>
      </c>
      <c r="O53" s="14">
        <f t="shared" si="4"/>
        <v>0</v>
      </c>
      <c r="P53" s="15">
        <f t="shared" si="5"/>
        <v>-5.2173913043478137</v>
      </c>
      <c r="Q53" s="444">
        <f t="shared" si="6"/>
        <v>0.95565217391304358</v>
      </c>
      <c r="R53" s="615"/>
      <c r="S53" s="34">
        <v>0.28263888888888888</v>
      </c>
      <c r="T53" s="34">
        <v>0.37847222222222221</v>
      </c>
      <c r="U53" s="445">
        <f t="shared" si="38"/>
        <v>5.9999999999999787</v>
      </c>
      <c r="V53" s="456">
        <f t="shared" si="37"/>
        <v>138</v>
      </c>
      <c r="W53" s="16"/>
      <c r="X53" s="16"/>
      <c r="Y53" s="19"/>
      <c r="Z53" s="19"/>
      <c r="AA53" s="617"/>
      <c r="AB53" s="617"/>
      <c r="AC53" s="35"/>
      <c r="AD53" s="18"/>
      <c r="AE53" s="14">
        <f t="shared" si="8"/>
        <v>-88.695652173913004</v>
      </c>
      <c r="AF53" s="444">
        <f t="shared" si="9"/>
        <v>0.95565217391304347</v>
      </c>
      <c r="AG53" s="615"/>
    </row>
    <row r="54" spans="1:33" ht="15.75" customHeight="1">
      <c r="A54" s="630" t="s">
        <v>277</v>
      </c>
      <c r="B54" s="29" t="s">
        <v>15</v>
      </c>
      <c r="C54" s="449" t="s">
        <v>27</v>
      </c>
      <c r="D54" s="450"/>
      <c r="E54" s="29">
        <v>59.04</v>
      </c>
      <c r="F54" s="32">
        <v>2410</v>
      </c>
      <c r="G54" s="445">
        <f t="shared" si="35"/>
        <v>142286.39999999999</v>
      </c>
      <c r="H54" s="33" t="s">
        <v>57</v>
      </c>
      <c r="I54" s="455">
        <v>19</v>
      </c>
      <c r="J54" s="31">
        <v>2000</v>
      </c>
      <c r="K54" s="12">
        <f t="shared" si="1"/>
        <v>105.26315789473684</v>
      </c>
      <c r="L54" s="455">
        <v>19</v>
      </c>
      <c r="M54" s="13">
        <f t="shared" si="39"/>
        <v>1902.6315789473692</v>
      </c>
      <c r="N54" s="13">
        <f t="shared" si="3"/>
        <v>100.13850415512469</v>
      </c>
      <c r="O54" s="14">
        <f t="shared" si="4"/>
        <v>0</v>
      </c>
      <c r="P54" s="15">
        <f t="shared" si="5"/>
        <v>-5.1246537396121425</v>
      </c>
      <c r="Q54" s="444">
        <f t="shared" si="6"/>
        <v>0.95131578947368467</v>
      </c>
      <c r="R54" s="615"/>
      <c r="S54" s="34">
        <v>0.38194444444444442</v>
      </c>
      <c r="T54" s="34">
        <v>0.43472222222222218</v>
      </c>
      <c r="U54" s="445">
        <f t="shared" si="38"/>
        <v>4.9999999999999822</v>
      </c>
      <c r="V54" s="456">
        <f t="shared" si="37"/>
        <v>75.999999999999972</v>
      </c>
      <c r="W54" s="16"/>
      <c r="X54" s="16"/>
      <c r="Y54" s="19"/>
      <c r="Z54" s="19"/>
      <c r="AA54" s="617"/>
      <c r="AB54" s="617"/>
      <c r="AC54" s="35"/>
      <c r="AD54" s="18"/>
      <c r="AE54" s="14">
        <f t="shared" si="8"/>
        <v>-97.368421052630765</v>
      </c>
      <c r="AF54" s="444">
        <f t="shared" si="9"/>
        <v>0.95131578947368467</v>
      </c>
      <c r="AG54" s="615"/>
    </row>
    <row r="55" spans="1:33" ht="15.75" customHeight="1">
      <c r="A55" s="630" t="s">
        <v>2186</v>
      </c>
      <c r="B55" s="29" t="s">
        <v>15</v>
      </c>
      <c r="C55" s="449" t="s">
        <v>48</v>
      </c>
      <c r="D55" s="450"/>
      <c r="E55" s="29">
        <v>55.56</v>
      </c>
      <c r="F55" s="32">
        <v>1783</v>
      </c>
      <c r="G55" s="445">
        <f t="shared" si="35"/>
        <v>99063.48000000001</v>
      </c>
      <c r="H55" s="33" t="s">
        <v>57</v>
      </c>
      <c r="I55" s="455">
        <v>17</v>
      </c>
      <c r="J55" s="31">
        <v>2000</v>
      </c>
      <c r="K55" s="12">
        <f t="shared" si="1"/>
        <v>117.64705882352941</v>
      </c>
      <c r="L55" s="455">
        <v>17</v>
      </c>
      <c r="M55" s="13">
        <f t="shared" si="39"/>
        <v>1910.3571428571445</v>
      </c>
      <c r="N55" s="13">
        <f t="shared" si="3"/>
        <v>112.37394957983203</v>
      </c>
      <c r="O55" s="14">
        <f t="shared" si="4"/>
        <v>0</v>
      </c>
      <c r="P55" s="15">
        <f t="shared" si="5"/>
        <v>-5.2731092436973768</v>
      </c>
      <c r="Q55" s="444">
        <f t="shared" si="6"/>
        <v>0.95517857142857232</v>
      </c>
      <c r="R55" s="615"/>
      <c r="S55" s="34">
        <v>0.70833333333333337</v>
      </c>
      <c r="T55" s="34">
        <v>0.74722222222222223</v>
      </c>
      <c r="U55" s="445" t="str">
        <f t="shared" si="38"/>
        <v/>
      </c>
      <c r="V55" s="456">
        <f t="shared" si="37"/>
        <v>55.999999999999957</v>
      </c>
      <c r="W55" s="16"/>
      <c r="X55" s="16"/>
      <c r="Y55" s="19"/>
      <c r="Z55" s="19"/>
      <c r="AA55" s="617"/>
      <c r="AB55" s="617"/>
      <c r="AC55" s="35"/>
      <c r="AD55" s="18"/>
      <c r="AE55" s="14">
        <f t="shared" si="8"/>
        <v>-89.642857142855519</v>
      </c>
      <c r="AF55" s="444">
        <f t="shared" si="9"/>
        <v>0.95517857142857221</v>
      </c>
      <c r="AG55" s="615"/>
    </row>
    <row r="56" spans="1:33" ht="15.75" customHeight="1">
      <c r="A56" s="630" t="s">
        <v>277</v>
      </c>
      <c r="B56" s="29" t="s">
        <v>15</v>
      </c>
      <c r="C56" s="622" t="s">
        <v>841</v>
      </c>
      <c r="D56" s="623"/>
      <c r="E56" s="29">
        <v>54.09</v>
      </c>
      <c r="F56" s="32">
        <v>1516</v>
      </c>
      <c r="G56" s="445">
        <f t="shared" si="35"/>
        <v>82000.44</v>
      </c>
      <c r="H56" s="33" t="s">
        <v>57</v>
      </c>
      <c r="I56" s="455">
        <v>13</v>
      </c>
      <c r="J56" s="31">
        <v>2000</v>
      </c>
      <c r="K56" s="12">
        <f t="shared" si="1"/>
        <v>153.84615384615384</v>
      </c>
      <c r="L56" s="455">
        <v>13</v>
      </c>
      <c r="M56" s="13">
        <f t="shared" si="39"/>
        <v>1935.3191489361704</v>
      </c>
      <c r="N56" s="13">
        <f t="shared" si="3"/>
        <v>148.87070376432081</v>
      </c>
      <c r="O56" s="14">
        <f t="shared" si="4"/>
        <v>0</v>
      </c>
      <c r="P56" s="15">
        <f t="shared" si="5"/>
        <v>-4.9754500818330314</v>
      </c>
      <c r="Q56" s="444">
        <f t="shared" si="6"/>
        <v>0.96765957446808526</v>
      </c>
      <c r="R56" s="615"/>
      <c r="S56" s="34">
        <v>0.75208333333333333</v>
      </c>
      <c r="T56" s="34">
        <v>0.78472222222222221</v>
      </c>
      <c r="U56" s="445">
        <f t="shared" si="38"/>
        <v>6.9999999999999751</v>
      </c>
      <c r="V56" s="456">
        <f t="shared" si="37"/>
        <v>46.999999999999993</v>
      </c>
      <c r="W56" s="16"/>
      <c r="X56" s="16"/>
      <c r="Y56" s="19"/>
      <c r="Z56" s="19"/>
      <c r="AA56" s="624"/>
      <c r="AB56" s="625"/>
      <c r="AC56" s="35"/>
      <c r="AD56" s="18"/>
      <c r="AE56" s="14">
        <f t="shared" si="8"/>
        <v>-64.68085106382955</v>
      </c>
      <c r="AF56" s="444">
        <f t="shared" si="9"/>
        <v>0.96765957446808526</v>
      </c>
      <c r="AG56" s="615"/>
    </row>
    <row r="57" spans="1:33" ht="15.75" customHeight="1">
      <c r="A57" s="630" t="s">
        <v>2186</v>
      </c>
      <c r="B57" s="29" t="s">
        <v>15</v>
      </c>
      <c r="C57" s="622" t="s">
        <v>85</v>
      </c>
      <c r="D57" s="623"/>
      <c r="E57" s="29">
        <v>56.43</v>
      </c>
      <c r="F57" s="32">
        <v>1147</v>
      </c>
      <c r="G57" s="445">
        <f t="shared" si="35"/>
        <v>64725.21</v>
      </c>
      <c r="H57" s="33" t="s">
        <v>57</v>
      </c>
      <c r="I57" s="455">
        <v>13</v>
      </c>
      <c r="J57" s="31">
        <v>2000</v>
      </c>
      <c r="K57" s="12">
        <f t="shared" si="1"/>
        <v>153.84615384615384</v>
      </c>
      <c r="L57" s="455">
        <v>13</v>
      </c>
      <c r="M57" s="13">
        <f t="shared" si="39"/>
        <v>1911.6666666666652</v>
      </c>
      <c r="N57" s="13">
        <f t="shared" si="3"/>
        <v>147.05128205128193</v>
      </c>
      <c r="O57" s="14">
        <f t="shared" si="4"/>
        <v>0</v>
      </c>
      <c r="P57" s="15">
        <f t="shared" si="5"/>
        <v>-6.7948717948719093</v>
      </c>
      <c r="Q57" s="444">
        <f t="shared" si="6"/>
        <v>0.95583333333333254</v>
      </c>
      <c r="R57" s="615"/>
      <c r="S57" s="34">
        <v>0.78888888888888886</v>
      </c>
      <c r="T57" s="34">
        <v>0.81388888888888888</v>
      </c>
      <c r="U57" s="445">
        <f t="shared" si="38"/>
        <v>5.9999999999999787</v>
      </c>
      <c r="V57" s="456">
        <f t="shared" si="37"/>
        <v>36.000000000000028</v>
      </c>
      <c r="W57" s="16"/>
      <c r="X57" s="16"/>
      <c r="Y57" s="19"/>
      <c r="Z57" s="19"/>
      <c r="AA57" s="624"/>
      <c r="AB57" s="625"/>
      <c r="AC57" s="35"/>
      <c r="AD57" s="18"/>
      <c r="AE57" s="14">
        <f t="shared" si="8"/>
        <v>-88.333333333334849</v>
      </c>
      <c r="AF57" s="444">
        <f t="shared" si="9"/>
        <v>0.95583333333333254</v>
      </c>
      <c r="AG57" s="615"/>
    </row>
    <row r="58" spans="1:33">
      <c r="A58" s="631" t="s">
        <v>2186</v>
      </c>
      <c r="B58" s="29" t="s">
        <v>2184</v>
      </c>
      <c r="C58" s="618"/>
      <c r="D58" s="618"/>
      <c r="E58" s="446"/>
      <c r="F58" s="30"/>
      <c r="G58" s="12"/>
      <c r="H58" s="457"/>
      <c r="I58" s="23">
        <v>16.714285714285715</v>
      </c>
      <c r="J58" s="31">
        <v>2000</v>
      </c>
      <c r="K58" s="12">
        <f t="shared" si="1"/>
        <v>119.65811965811965</v>
      </c>
      <c r="L58" s="23">
        <v>16.714285714285715</v>
      </c>
      <c r="M58" s="13">
        <f>AVERAGE(M51:M57)</f>
        <v>1916.9684121762054</v>
      </c>
      <c r="N58" s="12">
        <f t="shared" si="3"/>
        <v>114.69041782250801</v>
      </c>
      <c r="O58" s="14">
        <f t="shared" si="4"/>
        <v>0</v>
      </c>
      <c r="P58" s="15">
        <f t="shared" si="5"/>
        <v>-4.9677018356116349</v>
      </c>
      <c r="Q58" s="444">
        <f t="shared" si="6"/>
        <v>0.95848420608810281</v>
      </c>
      <c r="R58" s="615"/>
      <c r="S58" s="34"/>
      <c r="T58" s="34"/>
      <c r="U58" s="445"/>
      <c r="V58" s="456"/>
      <c r="W58" s="12"/>
      <c r="X58" s="12"/>
      <c r="Y58" s="24">
        <f>SUM(Y51:Y57)</f>
        <v>0</v>
      </c>
      <c r="Z58" s="24">
        <f>SUM(Z51:Z57)</f>
        <v>0</v>
      </c>
      <c r="AA58" s="614"/>
      <c r="AB58" s="614"/>
      <c r="AC58" s="24">
        <v>7</v>
      </c>
      <c r="AD58" s="24">
        <f>SUM(AD51:AD57)</f>
        <v>0</v>
      </c>
      <c r="AE58" s="14">
        <f>M58-J58</f>
        <v>-83.031587823794553</v>
      </c>
      <c r="AF58" s="444">
        <f t="shared" si="9"/>
        <v>0.9584842060881027</v>
      </c>
      <c r="AG58" s="615"/>
    </row>
    <row r="59" spans="1:33" ht="15.75" customHeight="1">
      <c r="A59" s="626" t="s">
        <v>278</v>
      </c>
      <c r="B59" s="457" t="s">
        <v>40</v>
      </c>
      <c r="C59" s="616" t="s">
        <v>49</v>
      </c>
      <c r="D59" s="616"/>
      <c r="E59" s="29">
        <v>34.36</v>
      </c>
      <c r="F59" s="32">
        <v>2320</v>
      </c>
      <c r="G59" s="445">
        <f t="shared" ref="G59:G62" si="40">E59*F59</f>
        <v>79715.199999999997</v>
      </c>
      <c r="H59" s="33" t="s">
        <v>57</v>
      </c>
      <c r="I59" s="455">
        <v>10</v>
      </c>
      <c r="J59" s="31">
        <v>3000</v>
      </c>
      <c r="K59" s="12">
        <f t="shared" si="1"/>
        <v>300</v>
      </c>
      <c r="L59" s="455">
        <v>10</v>
      </c>
      <c r="M59" s="13">
        <f t="shared" ref="M59:M62" si="41">F59/V59*60</f>
        <v>2900.0000000000009</v>
      </c>
      <c r="N59" s="12">
        <f t="shared" si="3"/>
        <v>290.00000000000011</v>
      </c>
      <c r="O59" s="14">
        <f t="shared" si="4"/>
        <v>0</v>
      </c>
      <c r="P59" s="15">
        <f t="shared" si="5"/>
        <v>-9.9999999999998863</v>
      </c>
      <c r="Q59" s="444">
        <f t="shared" si="6"/>
        <v>0.96666666666666701</v>
      </c>
      <c r="R59" s="615">
        <f>Q63</f>
        <v>0.96437778066443669</v>
      </c>
      <c r="S59" s="34">
        <v>0.20833333333333334</v>
      </c>
      <c r="T59" s="34">
        <v>0.24166666666666667</v>
      </c>
      <c r="U59" s="445"/>
      <c r="V59" s="456">
        <f t="shared" ref="V59:V62" si="42">(T59-S59)*24*60</f>
        <v>47.999999999999986</v>
      </c>
      <c r="W59" s="16"/>
      <c r="X59" s="16"/>
      <c r="Y59" s="21"/>
      <c r="Z59" s="21"/>
      <c r="AA59" s="617"/>
      <c r="AB59" s="617"/>
      <c r="AC59" s="35">
        <v>4</v>
      </c>
      <c r="AD59" s="18"/>
      <c r="AE59" s="14">
        <f t="shared" ref="AE59:AE70" si="43">M59-J59</f>
        <v>-99.999999999999091</v>
      </c>
      <c r="AF59" s="444">
        <f t="shared" si="9"/>
        <v>0.96666666666666701</v>
      </c>
      <c r="AG59" s="615">
        <f>AF63</f>
        <v>0.96437778066443658</v>
      </c>
    </row>
    <row r="60" spans="1:33" ht="15.75" customHeight="1">
      <c r="A60" s="626" t="s">
        <v>278</v>
      </c>
      <c r="B60" s="457" t="s">
        <v>40</v>
      </c>
      <c r="C60" s="616" t="s">
        <v>51</v>
      </c>
      <c r="D60" s="616"/>
      <c r="E60" s="29">
        <v>26.78</v>
      </c>
      <c r="F60" s="32">
        <v>2552</v>
      </c>
      <c r="G60" s="445">
        <f t="shared" si="40"/>
        <v>68342.559999999998</v>
      </c>
      <c r="H60" s="33" t="s">
        <v>57</v>
      </c>
      <c r="I60" s="455">
        <v>10</v>
      </c>
      <c r="J60" s="31">
        <v>3000</v>
      </c>
      <c r="K60" s="12">
        <f t="shared" si="1"/>
        <v>300</v>
      </c>
      <c r="L60" s="455">
        <v>10</v>
      </c>
      <c r="M60" s="13">
        <f t="shared" si="41"/>
        <v>2889.0566037735844</v>
      </c>
      <c r="N60" s="12">
        <f t="shared" si="3"/>
        <v>288.90566037735846</v>
      </c>
      <c r="O60" s="14">
        <f t="shared" si="4"/>
        <v>0</v>
      </c>
      <c r="P60" s="15">
        <f t="shared" si="5"/>
        <v>-11.094339622641542</v>
      </c>
      <c r="Q60" s="444">
        <f t="shared" si="6"/>
        <v>0.96301886792452818</v>
      </c>
      <c r="R60" s="615"/>
      <c r="S60" s="34">
        <v>0.24513888888888888</v>
      </c>
      <c r="T60" s="34">
        <v>0.28194444444444444</v>
      </c>
      <c r="U60" s="445">
        <f t="shared" ref="U60:U62" si="44">(S60-T59)*24*60</f>
        <v>4.9999999999999822</v>
      </c>
      <c r="V60" s="456">
        <f t="shared" si="42"/>
        <v>53.000000000000014</v>
      </c>
      <c r="W60" s="445"/>
      <c r="X60" s="445"/>
      <c r="Y60" s="445"/>
      <c r="Z60" s="445"/>
      <c r="AA60" s="617"/>
      <c r="AB60" s="617"/>
      <c r="AC60" s="35"/>
      <c r="AD60" s="18"/>
      <c r="AE60" s="14">
        <f t="shared" si="43"/>
        <v>-110.94339622641564</v>
      </c>
      <c r="AF60" s="444">
        <f t="shared" si="9"/>
        <v>0.96301886792452807</v>
      </c>
      <c r="AG60" s="615"/>
    </row>
    <row r="61" spans="1:33" ht="15.75" customHeight="1">
      <c r="A61" s="626" t="s">
        <v>278</v>
      </c>
      <c r="B61" s="457" t="s">
        <v>40</v>
      </c>
      <c r="C61" s="616" t="s">
        <v>52</v>
      </c>
      <c r="D61" s="616"/>
      <c r="E61" s="29">
        <v>35.869999999999997</v>
      </c>
      <c r="F61" s="32">
        <v>3973</v>
      </c>
      <c r="G61" s="445">
        <f t="shared" si="40"/>
        <v>142511.50999999998</v>
      </c>
      <c r="H61" s="33" t="s">
        <v>57</v>
      </c>
      <c r="I61" s="455">
        <v>9</v>
      </c>
      <c r="J61" s="31">
        <v>3000</v>
      </c>
      <c r="K61" s="12">
        <f t="shared" si="1"/>
        <v>333.33333333333331</v>
      </c>
      <c r="L61" s="455">
        <v>9</v>
      </c>
      <c r="M61" s="13">
        <f t="shared" si="41"/>
        <v>2872.0481927710834</v>
      </c>
      <c r="N61" s="12">
        <f t="shared" si="3"/>
        <v>319.1164658634537</v>
      </c>
      <c r="O61" s="14">
        <f t="shared" si="4"/>
        <v>0</v>
      </c>
      <c r="P61" s="15">
        <f t="shared" si="5"/>
        <v>-14.216867469879617</v>
      </c>
      <c r="Q61" s="444">
        <f t="shared" si="6"/>
        <v>0.9573493975903612</v>
      </c>
      <c r="R61" s="615"/>
      <c r="S61" s="34">
        <v>0.28611111111111109</v>
      </c>
      <c r="T61" s="34">
        <v>0.34375</v>
      </c>
      <c r="U61" s="445">
        <f t="shared" si="44"/>
        <v>5.9999999999999787</v>
      </c>
      <c r="V61" s="456">
        <f t="shared" si="42"/>
        <v>83.000000000000028</v>
      </c>
      <c r="W61" s="445"/>
      <c r="X61" s="445"/>
      <c r="Y61" s="445"/>
      <c r="Z61" s="445"/>
      <c r="AA61" s="617"/>
      <c r="AB61" s="617"/>
      <c r="AC61" s="35"/>
      <c r="AD61" s="18"/>
      <c r="AE61" s="14">
        <f t="shared" si="43"/>
        <v>-127.95180722891655</v>
      </c>
      <c r="AF61" s="444">
        <f t="shared" si="9"/>
        <v>0.9573493975903612</v>
      </c>
      <c r="AG61" s="615"/>
    </row>
    <row r="62" spans="1:33" ht="15.75" customHeight="1">
      <c r="A62" s="626" t="s">
        <v>278</v>
      </c>
      <c r="B62" s="457" t="s">
        <v>40</v>
      </c>
      <c r="C62" s="616" t="s">
        <v>53</v>
      </c>
      <c r="D62" s="616"/>
      <c r="E62" s="29">
        <v>34.35</v>
      </c>
      <c r="F62" s="32">
        <v>2038</v>
      </c>
      <c r="G62" s="445">
        <f t="shared" si="40"/>
        <v>70005.3</v>
      </c>
      <c r="H62" s="33" t="s">
        <v>57</v>
      </c>
      <c r="I62" s="455">
        <v>8</v>
      </c>
      <c r="J62" s="31">
        <v>3000</v>
      </c>
      <c r="K62" s="12">
        <f t="shared" si="1"/>
        <v>375</v>
      </c>
      <c r="L62" s="455">
        <v>8</v>
      </c>
      <c r="M62" s="13">
        <f t="shared" si="41"/>
        <v>2911.4285714285702</v>
      </c>
      <c r="N62" s="12">
        <f t="shared" si="3"/>
        <v>363.92857142857127</v>
      </c>
      <c r="O62" s="14">
        <f t="shared" si="4"/>
        <v>0</v>
      </c>
      <c r="P62" s="15">
        <f t="shared" si="5"/>
        <v>-11.071428571428726</v>
      </c>
      <c r="Q62" s="444">
        <f t="shared" si="6"/>
        <v>0.97047619047619005</v>
      </c>
      <c r="R62" s="615"/>
      <c r="S62" s="34">
        <v>0.34791666666666665</v>
      </c>
      <c r="T62" s="34">
        <v>0.37708333333333333</v>
      </c>
      <c r="U62" s="445">
        <f t="shared" si="44"/>
        <v>5.9999999999999787</v>
      </c>
      <c r="V62" s="456">
        <f t="shared" si="42"/>
        <v>42.000000000000014</v>
      </c>
      <c r="W62" s="445"/>
      <c r="X62" s="445"/>
      <c r="Y62" s="445"/>
      <c r="Z62" s="445"/>
      <c r="AA62" s="617"/>
      <c r="AB62" s="617"/>
      <c r="AC62" s="35"/>
      <c r="AD62" s="18"/>
      <c r="AE62" s="14">
        <f t="shared" si="43"/>
        <v>-88.571428571429806</v>
      </c>
      <c r="AF62" s="444">
        <f t="shared" si="9"/>
        <v>0.97047619047619005</v>
      </c>
      <c r="AG62" s="615"/>
    </row>
    <row r="63" spans="1:33">
      <c r="A63" s="627" t="s">
        <v>278</v>
      </c>
      <c r="B63" s="29" t="s">
        <v>6</v>
      </c>
      <c r="C63" s="618"/>
      <c r="D63" s="618"/>
      <c r="E63" s="446"/>
      <c r="F63" s="30"/>
      <c r="G63" s="12"/>
      <c r="H63" s="457"/>
      <c r="I63" s="23">
        <v>9.25</v>
      </c>
      <c r="J63" s="31">
        <v>3000</v>
      </c>
      <c r="K63" s="12">
        <f t="shared" si="1"/>
        <v>324.32432432432432</v>
      </c>
      <c r="L63" s="23">
        <v>9.25</v>
      </c>
      <c r="M63" s="13">
        <f>AVERAGE(M59:M62)</f>
        <v>2893.1333419933098</v>
      </c>
      <c r="N63" s="12">
        <f t="shared" si="3"/>
        <v>312.77117210738487</v>
      </c>
      <c r="O63" s="14">
        <f t="shared" si="4"/>
        <v>0</v>
      </c>
      <c r="P63" s="15">
        <f t="shared" si="5"/>
        <v>-11.553152216939452</v>
      </c>
      <c r="Q63" s="444">
        <f t="shared" si="6"/>
        <v>0.96437778066443669</v>
      </c>
      <c r="R63" s="615"/>
      <c r="S63" s="34"/>
      <c r="T63" s="34"/>
      <c r="U63" s="12"/>
      <c r="V63" s="456"/>
      <c r="W63" s="12"/>
      <c r="X63" s="12"/>
      <c r="Y63" s="24">
        <f>SUM(Y59:Y62)</f>
        <v>0</v>
      </c>
      <c r="Z63" s="24">
        <f>SUM(Z59:Z62)</f>
        <v>0</v>
      </c>
      <c r="AA63" s="614"/>
      <c r="AB63" s="614"/>
      <c r="AC63" s="24">
        <v>4</v>
      </c>
      <c r="AD63" s="24">
        <f>SUM(AD59:AD62)</f>
        <v>0</v>
      </c>
      <c r="AE63" s="14">
        <f t="shared" si="43"/>
        <v>-106.86665800669016</v>
      </c>
      <c r="AF63" s="444">
        <f t="shared" si="9"/>
        <v>0.96437778066443658</v>
      </c>
      <c r="AG63" s="615"/>
    </row>
    <row r="64" spans="1:33" ht="15.75" customHeight="1">
      <c r="A64" s="619" t="s">
        <v>14</v>
      </c>
      <c r="B64" s="457" t="s">
        <v>32</v>
      </c>
      <c r="C64" s="616" t="s">
        <v>56</v>
      </c>
      <c r="D64" s="616"/>
      <c r="E64" s="29">
        <v>19.02</v>
      </c>
      <c r="F64" s="457">
        <v>5300</v>
      </c>
      <c r="G64" s="445">
        <f t="shared" ref="G64:G69" si="45">E64*F64</f>
        <v>100806</v>
      </c>
      <c r="H64" s="33">
        <v>2</v>
      </c>
      <c r="I64" s="455">
        <v>14</v>
      </c>
      <c r="J64" s="31">
        <v>2400</v>
      </c>
      <c r="K64" s="12">
        <f t="shared" si="1"/>
        <v>171.42857142857142</v>
      </c>
      <c r="L64" s="455">
        <v>14</v>
      </c>
      <c r="M64" s="13">
        <f t="shared" ref="M64:M69" si="46">F64/V64*60</f>
        <v>2287.7697841726617</v>
      </c>
      <c r="N64" s="12">
        <f t="shared" si="3"/>
        <v>163.41212744090441</v>
      </c>
      <c r="O64" s="14">
        <f t="shared" si="4"/>
        <v>0</v>
      </c>
      <c r="P64" s="15">
        <f t="shared" si="5"/>
        <v>-8.0164439876670031</v>
      </c>
      <c r="Q64" s="444">
        <f t="shared" si="6"/>
        <v>0.95323741007194251</v>
      </c>
      <c r="R64" s="615">
        <f>Q70</f>
        <v>0.95437959429739949</v>
      </c>
      <c r="S64" s="34">
        <v>8.3333333333333329E-2</v>
      </c>
      <c r="T64" s="34">
        <v>0.17986111111111111</v>
      </c>
      <c r="U64" s="21"/>
      <c r="V64" s="456">
        <f t="shared" ref="V64:V69" si="47">(T64-S64)*24*60</f>
        <v>139</v>
      </c>
      <c r="W64" s="16">
        <f>T64</f>
        <v>0.17986111111111111</v>
      </c>
      <c r="X64" s="16">
        <f>S65</f>
        <v>0.20069444444444445</v>
      </c>
      <c r="Y64" s="16"/>
      <c r="Z64" s="16"/>
      <c r="AA64" s="617"/>
      <c r="AB64" s="617"/>
      <c r="AC64" s="35">
        <v>6</v>
      </c>
      <c r="AD64" s="18"/>
      <c r="AE64" s="14">
        <f t="shared" si="43"/>
        <v>-112.23021582733827</v>
      </c>
      <c r="AF64" s="444">
        <f t="shared" si="9"/>
        <v>0.9532374100719424</v>
      </c>
      <c r="AG64" s="615">
        <f>AF70</f>
        <v>0.9543795942973996</v>
      </c>
    </row>
    <row r="65" spans="1:33" ht="15.75" customHeight="1">
      <c r="A65" s="620" t="s">
        <v>14</v>
      </c>
      <c r="B65" s="457" t="s">
        <v>32</v>
      </c>
      <c r="C65" s="616" t="s">
        <v>36</v>
      </c>
      <c r="D65" s="616"/>
      <c r="E65" s="29">
        <v>20.36</v>
      </c>
      <c r="F65" s="457">
        <v>4454</v>
      </c>
      <c r="G65" s="445">
        <f t="shared" si="45"/>
        <v>90683.44</v>
      </c>
      <c r="H65" s="33" t="s">
        <v>57</v>
      </c>
      <c r="I65" s="455">
        <v>17</v>
      </c>
      <c r="J65" s="31">
        <v>2400</v>
      </c>
      <c r="K65" s="12">
        <f t="shared" si="1"/>
        <v>141.1764705882353</v>
      </c>
      <c r="L65" s="455">
        <v>17</v>
      </c>
      <c r="M65" s="13">
        <f t="shared" si="46"/>
        <v>2284.1025641025644</v>
      </c>
      <c r="N65" s="12">
        <f t="shared" si="3"/>
        <v>134.35897435897436</v>
      </c>
      <c r="O65" s="14">
        <f t="shared" si="4"/>
        <v>0</v>
      </c>
      <c r="P65" s="15">
        <f t="shared" si="5"/>
        <v>-6.8174962292609393</v>
      </c>
      <c r="Q65" s="444">
        <f t="shared" si="6"/>
        <v>0.95170940170940166</v>
      </c>
      <c r="R65" s="615"/>
      <c r="S65" s="34">
        <v>0.20069444444444445</v>
      </c>
      <c r="T65" s="34">
        <v>0.28194444444444444</v>
      </c>
      <c r="U65" s="445">
        <f t="shared" ref="U65:U69" si="48">(S65-T64)*24*60</f>
        <v>30.000000000000014</v>
      </c>
      <c r="V65" s="456">
        <f t="shared" si="47"/>
        <v>116.99999999999999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-115.89743589743557</v>
      </c>
      <c r="AF65" s="444">
        <f t="shared" si="9"/>
        <v>0.95170940170940188</v>
      </c>
      <c r="AG65" s="615"/>
    </row>
    <row r="66" spans="1:33" ht="15.75" customHeight="1">
      <c r="A66" s="620" t="s">
        <v>14</v>
      </c>
      <c r="B66" s="457" t="s">
        <v>32</v>
      </c>
      <c r="C66" s="616" t="s">
        <v>54</v>
      </c>
      <c r="D66" s="616"/>
      <c r="E66" s="29">
        <v>20.21</v>
      </c>
      <c r="F66" s="457">
        <v>3131</v>
      </c>
      <c r="G66" s="445">
        <f t="shared" si="45"/>
        <v>63277.51</v>
      </c>
      <c r="H66" s="33" t="s">
        <v>57</v>
      </c>
      <c r="I66" s="455">
        <v>15</v>
      </c>
      <c r="J66" s="31">
        <v>2400</v>
      </c>
      <c r="K66" s="12">
        <f t="shared" si="1"/>
        <v>160</v>
      </c>
      <c r="L66" s="455">
        <v>15</v>
      </c>
      <c r="M66" s="13">
        <f t="shared" si="46"/>
        <v>2290.9756097560971</v>
      </c>
      <c r="N66" s="12">
        <f t="shared" si="3"/>
        <v>152.73170731707313</v>
      </c>
      <c r="O66" s="14">
        <f t="shared" si="4"/>
        <v>0</v>
      </c>
      <c r="P66" s="15">
        <f t="shared" si="5"/>
        <v>-7.2682926829268695</v>
      </c>
      <c r="Q66" s="444">
        <f t="shared" si="6"/>
        <v>0.95457317073170711</v>
      </c>
      <c r="R66" s="615"/>
      <c r="S66" s="34">
        <v>0.28541666666666665</v>
      </c>
      <c r="T66" s="34">
        <v>0.34236111111111112</v>
      </c>
      <c r="U66" s="445">
        <f t="shared" si="48"/>
        <v>4.9999999999999822</v>
      </c>
      <c r="V66" s="456">
        <f t="shared" si="47"/>
        <v>82.000000000000028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-109.02439024390287</v>
      </c>
      <c r="AF66" s="444">
        <f t="shared" si="9"/>
        <v>0.95457317073170711</v>
      </c>
      <c r="AG66" s="615"/>
    </row>
    <row r="67" spans="1:33" ht="15.75" customHeight="1">
      <c r="A67" s="620" t="s">
        <v>14</v>
      </c>
      <c r="B67" s="457" t="s">
        <v>32</v>
      </c>
      <c r="C67" s="616" t="s">
        <v>55</v>
      </c>
      <c r="D67" s="616"/>
      <c r="E67" s="29">
        <v>22.69</v>
      </c>
      <c r="F67" s="457">
        <v>2990</v>
      </c>
      <c r="G67" s="445">
        <f t="shared" si="45"/>
        <v>67843.100000000006</v>
      </c>
      <c r="H67" s="33" t="s">
        <v>57</v>
      </c>
      <c r="I67" s="455">
        <v>15</v>
      </c>
      <c r="J67" s="31">
        <v>2400</v>
      </c>
      <c r="K67" s="12">
        <f t="shared" si="1"/>
        <v>160</v>
      </c>
      <c r="L67" s="455">
        <v>15</v>
      </c>
      <c r="M67" s="13">
        <f t="shared" si="46"/>
        <v>2299.9999999999991</v>
      </c>
      <c r="N67" s="12">
        <f t="shared" si="3"/>
        <v>153.33333333333329</v>
      </c>
      <c r="O67" s="14">
        <f t="shared" si="4"/>
        <v>0</v>
      </c>
      <c r="P67" s="15">
        <f t="shared" si="5"/>
        <v>-6.666666666666714</v>
      </c>
      <c r="Q67" s="444">
        <f t="shared" si="6"/>
        <v>0.95833333333333304</v>
      </c>
      <c r="R67" s="615"/>
      <c r="S67" s="34">
        <v>0.34722222222222221</v>
      </c>
      <c r="T67" s="34">
        <v>0.40138888888888891</v>
      </c>
      <c r="U67" s="445">
        <f t="shared" si="48"/>
        <v>6.9999999999999751</v>
      </c>
      <c r="V67" s="456">
        <f t="shared" si="47"/>
        <v>78.000000000000043</v>
      </c>
      <c r="W67" s="16"/>
      <c r="X67" s="16"/>
      <c r="Y67" s="16"/>
      <c r="Z67" s="16"/>
      <c r="AA67" s="617"/>
      <c r="AB67" s="617"/>
      <c r="AC67" s="35"/>
      <c r="AD67" s="18"/>
      <c r="AE67" s="14">
        <f t="shared" si="43"/>
        <v>-100.00000000000091</v>
      </c>
      <c r="AF67" s="444">
        <f t="shared" si="9"/>
        <v>0.95833333333333293</v>
      </c>
      <c r="AG67" s="615"/>
    </row>
    <row r="68" spans="1:33" ht="15.75" customHeight="1">
      <c r="A68" s="620" t="s">
        <v>14</v>
      </c>
      <c r="B68" s="457" t="s">
        <v>32</v>
      </c>
      <c r="C68" s="616" t="s">
        <v>949</v>
      </c>
      <c r="D68" s="616"/>
      <c r="E68" s="29">
        <v>25.98</v>
      </c>
      <c r="F68" s="457">
        <v>5644</v>
      </c>
      <c r="G68" s="445">
        <f t="shared" si="45"/>
        <v>146631.12</v>
      </c>
      <c r="H68" s="33" t="s">
        <v>57</v>
      </c>
      <c r="I68" s="455">
        <v>17</v>
      </c>
      <c r="J68" s="31">
        <v>2400</v>
      </c>
      <c r="K68" s="12">
        <f t="shared" si="1"/>
        <v>141.1764705882353</v>
      </c>
      <c r="L68" s="455">
        <v>17</v>
      </c>
      <c r="M68" s="13">
        <f t="shared" si="46"/>
        <v>2288.1081081081093</v>
      </c>
      <c r="N68" s="12">
        <f t="shared" si="3"/>
        <v>134.59459459459467</v>
      </c>
      <c r="O68" s="14">
        <f t="shared" si="4"/>
        <v>0</v>
      </c>
      <c r="P68" s="15">
        <f t="shared" si="5"/>
        <v>-6.5818759936406366</v>
      </c>
      <c r="Q68" s="444">
        <f t="shared" si="6"/>
        <v>0.9533783783783788</v>
      </c>
      <c r="R68" s="615"/>
      <c r="S68" s="34">
        <v>0.40555555555555556</v>
      </c>
      <c r="T68" s="34">
        <v>0.5083333333333333</v>
      </c>
      <c r="U68" s="445">
        <f t="shared" si="48"/>
        <v>5.9999999999999787</v>
      </c>
      <c r="V68" s="456">
        <f t="shared" si="47"/>
        <v>147.99999999999994</v>
      </c>
      <c r="W68" s="16">
        <f>T68</f>
        <v>0.5083333333333333</v>
      </c>
      <c r="X68" s="16">
        <f>S69</f>
        <v>0.54861111111111105</v>
      </c>
      <c r="Y68" s="16"/>
      <c r="Z68" s="16"/>
      <c r="AA68" s="617"/>
      <c r="AB68" s="617"/>
      <c r="AC68" s="35"/>
      <c r="AD68" s="18"/>
      <c r="AE68" s="14">
        <f t="shared" si="43"/>
        <v>-111.89189189189074</v>
      </c>
      <c r="AF68" s="444">
        <f t="shared" si="9"/>
        <v>0.95337837837837891</v>
      </c>
      <c r="AG68" s="615"/>
    </row>
    <row r="69" spans="1:33" ht="15.75" customHeight="1">
      <c r="A69" s="620" t="s">
        <v>14</v>
      </c>
      <c r="B69" s="457" t="s">
        <v>32</v>
      </c>
      <c r="C69" s="616" t="s">
        <v>56</v>
      </c>
      <c r="D69" s="616"/>
      <c r="E69" s="29">
        <v>19.02</v>
      </c>
      <c r="F69" s="457">
        <v>4164</v>
      </c>
      <c r="G69" s="445">
        <f t="shared" si="45"/>
        <v>79199.28</v>
      </c>
      <c r="H69" s="33" t="s">
        <v>57</v>
      </c>
      <c r="I69" s="455">
        <v>14</v>
      </c>
      <c r="J69" s="31">
        <v>2400</v>
      </c>
      <c r="K69" s="12">
        <f t="shared" ref="K69:K70" si="49">J69/I69</f>
        <v>171.42857142857142</v>
      </c>
      <c r="L69" s="455">
        <v>14</v>
      </c>
      <c r="M69" s="13">
        <f t="shared" si="46"/>
        <v>2292.1100917431208</v>
      </c>
      <c r="N69" s="12">
        <f t="shared" ref="N69:N70" si="50">M69/L69</f>
        <v>163.72214941022293</v>
      </c>
      <c r="O69" s="14">
        <f t="shared" ref="O69:O70" si="51">L69-I69</f>
        <v>0</v>
      </c>
      <c r="P69" s="15">
        <f t="shared" ref="P69:P70" si="52">N69-K69</f>
        <v>-7.7064220183484906</v>
      </c>
      <c r="Q69" s="444">
        <f t="shared" ref="Q69:Q70" si="53">N69/K69</f>
        <v>0.95504587155963383</v>
      </c>
      <c r="R69" s="615"/>
      <c r="S69" s="34">
        <v>0.54861111111111105</v>
      </c>
      <c r="T69" s="34">
        <v>0.62430555555555545</v>
      </c>
      <c r="U69" s="445">
        <f t="shared" si="48"/>
        <v>57.999999999999957</v>
      </c>
      <c r="V69" s="456">
        <f t="shared" si="47"/>
        <v>108.99999999999993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-107.88990825687915</v>
      </c>
      <c r="AF69" s="444">
        <f t="shared" ref="AF69:AF70" si="54">M69/J69</f>
        <v>0.95504587155963372</v>
      </c>
      <c r="AG69" s="615"/>
    </row>
    <row r="70" spans="1:33" ht="16.5" customHeight="1">
      <c r="A70" s="621" t="s">
        <v>14</v>
      </c>
      <c r="B70" s="29" t="s">
        <v>6</v>
      </c>
      <c r="C70" s="612"/>
      <c r="D70" s="613"/>
      <c r="E70" s="446"/>
      <c r="F70" s="30"/>
      <c r="G70" s="12"/>
      <c r="H70" s="457"/>
      <c r="I70" s="23">
        <v>15.333333333333334</v>
      </c>
      <c r="J70" s="31">
        <v>2400</v>
      </c>
      <c r="K70" s="12">
        <f t="shared" si="49"/>
        <v>156.52173913043478</v>
      </c>
      <c r="L70" s="23">
        <v>15.333333333333334</v>
      </c>
      <c r="M70" s="13">
        <f>AVERAGE(M64:M69)</f>
        <v>2290.511026313759</v>
      </c>
      <c r="N70" s="12">
        <f t="shared" si="50"/>
        <v>149.38115389002775</v>
      </c>
      <c r="O70" s="14">
        <f t="shared" si="51"/>
        <v>0</v>
      </c>
      <c r="P70" s="15">
        <f t="shared" si="52"/>
        <v>-7.1405852404070345</v>
      </c>
      <c r="Q70" s="444">
        <f t="shared" si="53"/>
        <v>0.95437959429739949</v>
      </c>
      <c r="R70" s="615"/>
      <c r="S70" s="34"/>
      <c r="T70" s="34"/>
      <c r="U70" s="12"/>
      <c r="V70" s="456"/>
      <c r="W70" s="12"/>
      <c r="X70" s="12"/>
      <c r="Y70" s="24">
        <f>SUM(Y64:Y69)</f>
        <v>0</v>
      </c>
      <c r="Z70" s="24">
        <f>SUM(Z64:Z69)</f>
        <v>0</v>
      </c>
      <c r="AA70" s="614"/>
      <c r="AB70" s="614"/>
      <c r="AC70" s="24">
        <v>6</v>
      </c>
      <c r="AD70" s="24">
        <f>SUM(AD64:AD69)</f>
        <v>0</v>
      </c>
      <c r="AE70" s="14">
        <f t="shared" si="43"/>
        <v>-109.48897368624102</v>
      </c>
      <c r="AF70" s="444">
        <f t="shared" si="54"/>
        <v>0.9543795942973996</v>
      </c>
      <c r="AG70" s="615"/>
    </row>
    <row r="71" spans="1:33">
      <c r="D71" s="25"/>
      <c r="E71" s="25"/>
    </row>
  </sheetData>
  <mergeCells count="186">
    <mergeCell ref="S1:X2"/>
    <mergeCell ref="AA1:AB2"/>
    <mergeCell ref="AE1:AG2"/>
    <mergeCell ref="A3:A4"/>
    <mergeCell ref="C3:D4"/>
    <mergeCell ref="E3:E4"/>
    <mergeCell ref="F3:F4"/>
    <mergeCell ref="G3:G4"/>
    <mergeCell ref="H3:H4"/>
    <mergeCell ref="I1:K2"/>
    <mergeCell ref="L1:N2"/>
    <mergeCell ref="O1:R2"/>
    <mergeCell ref="P3:P4"/>
    <mergeCell ref="Q3:Q4"/>
    <mergeCell ref="R3:R4"/>
    <mergeCell ref="S3:T3"/>
    <mergeCell ref="U3:U4"/>
    <mergeCell ref="I3:I4"/>
    <mergeCell ref="J3:J4"/>
    <mergeCell ref="K3:K4"/>
    <mergeCell ref="L3:L4"/>
    <mergeCell ref="M3:M4"/>
    <mergeCell ref="N3:N4"/>
    <mergeCell ref="AA7:AB7"/>
    <mergeCell ref="C8:D8"/>
    <mergeCell ref="AA8:AB8"/>
    <mergeCell ref="A9:A13"/>
    <mergeCell ref="C9:D9"/>
    <mergeCell ref="R9:R13"/>
    <mergeCell ref="AA9:AB9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C7:D7"/>
    <mergeCell ref="V3:V4"/>
    <mergeCell ref="W3:X3"/>
    <mergeCell ref="Y3:Z3"/>
    <mergeCell ref="AA3:AB4"/>
    <mergeCell ref="AC3:AD3"/>
    <mergeCell ref="AE3:AE4"/>
    <mergeCell ref="O3:O4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9:A37"/>
    <mergeCell ref="C29:D29"/>
    <mergeCell ref="R29:R37"/>
    <mergeCell ref="AA29:AB29"/>
    <mergeCell ref="AA34:AB34"/>
    <mergeCell ref="C35:D35"/>
    <mergeCell ref="AA35:AB35"/>
    <mergeCell ref="C37:D37"/>
    <mergeCell ref="AA37:AB37"/>
    <mergeCell ref="AG38:AG45"/>
    <mergeCell ref="C39:D39"/>
    <mergeCell ref="AA39:AB39"/>
    <mergeCell ref="C40:D40"/>
    <mergeCell ref="AA40:AB40"/>
    <mergeCell ref="C44:D44"/>
    <mergeCell ref="AA44:AB44"/>
    <mergeCell ref="C45:D45"/>
    <mergeCell ref="AA45:AB45"/>
    <mergeCell ref="AG29:AG37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46:A50"/>
    <mergeCell ref="C46:D46"/>
    <mergeCell ref="R46:R50"/>
    <mergeCell ref="AA46:AB46"/>
    <mergeCell ref="C41:D41"/>
    <mergeCell ref="AA41:AB41"/>
    <mergeCell ref="C42:D42"/>
    <mergeCell ref="AA42:AB42"/>
    <mergeCell ref="C43:D43"/>
    <mergeCell ref="AA43:AB43"/>
    <mergeCell ref="A38:A45"/>
    <mergeCell ref="C38:D38"/>
    <mergeCell ref="R38:R45"/>
    <mergeCell ref="AA38:AB38"/>
    <mergeCell ref="AG46:AG50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A51:A58"/>
    <mergeCell ref="C51:D51"/>
    <mergeCell ref="R51:R58"/>
    <mergeCell ref="AA51:AB51"/>
    <mergeCell ref="AG51:AG58"/>
    <mergeCell ref="C52:D52"/>
    <mergeCell ref="AA52:AB52"/>
    <mergeCell ref="C53:D53"/>
    <mergeCell ref="AA53:AB53"/>
    <mergeCell ref="AA54:AB54"/>
    <mergeCell ref="AG59:AG63"/>
    <mergeCell ref="C60:D60"/>
    <mergeCell ref="AA60:AB60"/>
    <mergeCell ref="C61:D61"/>
    <mergeCell ref="AA61:AB61"/>
    <mergeCell ref="C62:D62"/>
    <mergeCell ref="AA55:AB55"/>
    <mergeCell ref="C56:D56"/>
    <mergeCell ref="AA56:AB56"/>
    <mergeCell ref="C57:D57"/>
    <mergeCell ref="AA57:AB57"/>
    <mergeCell ref="C58:D58"/>
    <mergeCell ref="AA58:AB58"/>
    <mergeCell ref="AA62:AB62"/>
    <mergeCell ref="C63:D63"/>
    <mergeCell ref="AA63:AB63"/>
    <mergeCell ref="A64:A70"/>
    <mergeCell ref="C64:D64"/>
    <mergeCell ref="R64:R70"/>
    <mergeCell ref="AA64:AB64"/>
    <mergeCell ref="AA69:AB69"/>
    <mergeCell ref="C70:D70"/>
    <mergeCell ref="AA70:AB70"/>
    <mergeCell ref="A59:A63"/>
    <mergeCell ref="C59:D59"/>
    <mergeCell ref="R59:R63"/>
    <mergeCell ref="AA59:AB59"/>
    <mergeCell ref="AG64:AG70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</mergeCells>
  <phoneticPr fontId="3" type="noConversion"/>
  <conditionalFormatting sqref="O58:O59 O62:O70 O5:O9 O13:O15 O21:O56">
    <cfRule type="cellIs" dxfId="1609" priority="46" operator="greaterThan">
      <formula>0</formula>
    </cfRule>
  </conditionalFormatting>
  <conditionalFormatting sqref="P5:P7 P62 AE62 P64:P69 P29:P36 P59 P9 P13:P15 P22:P27 P51:P56 P38:P49 AE5:AE59 AE64:AE70">
    <cfRule type="cellIs" dxfId="1608" priority="50" operator="lessThan">
      <formula>0</formula>
    </cfRule>
  </conditionalFormatting>
  <conditionalFormatting sqref="AF62 Q58:Q59 Q62:Q70 Q5:Q9 Q13:Q15 Q21:Q56 AF5:AF59 AF64:AF70">
    <cfRule type="cellIs" dxfId="1607" priority="47" operator="greaterThan">
      <formula>1</formula>
    </cfRule>
    <cfRule type="cellIs" dxfId="1606" priority="48" operator="lessThan">
      <formula>0.8</formula>
    </cfRule>
  </conditionalFormatting>
  <conditionalFormatting sqref="AG14:AG15 R14:R15 AG62 AG58:AG59 R58:R59 R62:R70 AG5:AG9 R5:R9 AG21:AG56 R21:R56">
    <cfRule type="cellIs" dxfId="1605" priority="52" operator="lessThan">
      <formula>0.8</formula>
    </cfRule>
  </conditionalFormatting>
  <conditionalFormatting sqref="AG46">
    <cfRule type="cellIs" dxfId="1604" priority="54" operator="lessThan">
      <formula>0.8</formula>
    </cfRule>
  </conditionalFormatting>
  <conditionalFormatting sqref="AG22:AG27">
    <cfRule type="cellIs" dxfId="1603" priority="51" operator="lessThan">
      <formula>0.8</formula>
    </cfRule>
  </conditionalFormatting>
  <conditionalFormatting sqref="AG29">
    <cfRule type="cellIs" dxfId="1602" priority="53" operator="lessThan">
      <formula>0.8</formula>
    </cfRule>
  </conditionalFormatting>
  <conditionalFormatting sqref="AG38:AG44">
    <cfRule type="cellIs" dxfId="1601" priority="49" operator="lessThan">
      <formula>0.8</formula>
    </cfRule>
  </conditionalFormatting>
  <conditionalFormatting sqref="AE63">
    <cfRule type="cellIs" dxfId="1600" priority="45" operator="lessThan">
      <formula>0</formula>
    </cfRule>
  </conditionalFormatting>
  <conditionalFormatting sqref="AF63">
    <cfRule type="cellIs" dxfId="1599" priority="43" operator="greaterThan">
      <formula>1</formula>
    </cfRule>
    <cfRule type="cellIs" dxfId="1598" priority="44" operator="lessThan">
      <formula>0.8</formula>
    </cfRule>
  </conditionalFormatting>
  <conditionalFormatting sqref="O16:O17">
    <cfRule type="cellIs" dxfId="1597" priority="38" operator="greaterThan">
      <formula>0</formula>
    </cfRule>
  </conditionalFormatting>
  <conditionalFormatting sqref="P16:P17">
    <cfRule type="cellIs" dxfId="1596" priority="41" operator="lessThan">
      <formula>0</formula>
    </cfRule>
  </conditionalFormatting>
  <conditionalFormatting sqref="Q16:Q17">
    <cfRule type="cellIs" dxfId="1595" priority="39" operator="greaterThan">
      <formula>1</formula>
    </cfRule>
    <cfRule type="cellIs" dxfId="1594" priority="40" operator="lessThan">
      <formula>0.8</formula>
    </cfRule>
  </conditionalFormatting>
  <conditionalFormatting sqref="R16:R17 AG16:AG17">
    <cfRule type="cellIs" dxfId="1593" priority="42" operator="lessThan">
      <formula>0.8</formula>
    </cfRule>
  </conditionalFormatting>
  <conditionalFormatting sqref="O10:O12">
    <cfRule type="cellIs" dxfId="1592" priority="34" operator="greaterThan">
      <formula>0</formula>
    </cfRule>
  </conditionalFormatting>
  <conditionalFormatting sqref="P10:P12">
    <cfRule type="cellIs" dxfId="1591" priority="37" operator="lessThan">
      <formula>0</formula>
    </cfRule>
  </conditionalFormatting>
  <conditionalFormatting sqref="Q10:Q12">
    <cfRule type="cellIs" dxfId="1590" priority="35" operator="greaterThan">
      <formula>1</formula>
    </cfRule>
    <cfRule type="cellIs" dxfId="1589" priority="36" operator="lessThan">
      <formula>0.8</formula>
    </cfRule>
  </conditionalFormatting>
  <conditionalFormatting sqref="O57">
    <cfRule type="cellIs" dxfId="1588" priority="29" operator="greaterThan">
      <formula>0</formula>
    </cfRule>
  </conditionalFormatting>
  <conditionalFormatting sqref="P57">
    <cfRule type="cellIs" dxfId="1587" priority="32" operator="lessThan">
      <formula>0</formula>
    </cfRule>
  </conditionalFormatting>
  <conditionalFormatting sqref="Q57">
    <cfRule type="cellIs" dxfId="1586" priority="30" operator="greaterThan">
      <formula>1</formula>
    </cfRule>
    <cfRule type="cellIs" dxfId="1585" priority="31" operator="lessThan">
      <formula>0.8</formula>
    </cfRule>
  </conditionalFormatting>
  <conditionalFormatting sqref="R57 AG57">
    <cfRule type="cellIs" dxfId="1584" priority="33" operator="lessThan">
      <formula>0.8</formula>
    </cfRule>
  </conditionalFormatting>
  <conditionalFormatting sqref="O61">
    <cfRule type="cellIs" dxfId="1583" priority="24" operator="greaterThan">
      <formula>0</formula>
    </cfRule>
  </conditionalFormatting>
  <conditionalFormatting sqref="P61 AE61">
    <cfRule type="cellIs" dxfId="1582" priority="27" operator="lessThan">
      <formula>0</formula>
    </cfRule>
  </conditionalFormatting>
  <conditionalFormatting sqref="Q61 AF61">
    <cfRule type="cellIs" dxfId="1581" priority="25" operator="greaterThan">
      <formula>1</formula>
    </cfRule>
    <cfRule type="cellIs" dxfId="1580" priority="26" operator="lessThan">
      <formula>0.8</formula>
    </cfRule>
  </conditionalFormatting>
  <conditionalFormatting sqref="R61 AG61">
    <cfRule type="cellIs" dxfId="1579" priority="28" operator="lessThan">
      <formula>0.8</formula>
    </cfRule>
  </conditionalFormatting>
  <conditionalFormatting sqref="O18:O19">
    <cfRule type="cellIs" dxfId="1578" priority="19" operator="greaterThan">
      <formula>0</formula>
    </cfRule>
  </conditionalFormatting>
  <conditionalFormatting sqref="P18:P19">
    <cfRule type="cellIs" dxfId="1577" priority="22" operator="lessThan">
      <formula>0</formula>
    </cfRule>
  </conditionalFormatting>
  <conditionalFormatting sqref="Q18:Q19">
    <cfRule type="cellIs" dxfId="1576" priority="20" operator="greaterThan">
      <formula>1</formula>
    </cfRule>
    <cfRule type="cellIs" dxfId="1575" priority="21" operator="lessThan">
      <formula>0.8</formula>
    </cfRule>
  </conditionalFormatting>
  <conditionalFormatting sqref="R18:R19 AG18:AG19">
    <cfRule type="cellIs" dxfId="1574" priority="23" operator="lessThan">
      <formula>0.8</formula>
    </cfRule>
  </conditionalFormatting>
  <conditionalFormatting sqref="O60">
    <cfRule type="cellIs" dxfId="1573" priority="14" operator="greaterThan">
      <formula>0</formula>
    </cfRule>
  </conditionalFormatting>
  <conditionalFormatting sqref="P60 AE60">
    <cfRule type="cellIs" dxfId="1572" priority="17" operator="lessThan">
      <formula>0</formula>
    </cfRule>
  </conditionalFormatting>
  <conditionalFormatting sqref="Q60 AF60">
    <cfRule type="cellIs" dxfId="1571" priority="15" operator="greaterThan">
      <formula>1</formula>
    </cfRule>
    <cfRule type="cellIs" dxfId="1570" priority="16" operator="lessThan">
      <formula>0.8</formula>
    </cfRule>
  </conditionalFormatting>
  <conditionalFormatting sqref="R60 AG60">
    <cfRule type="cellIs" dxfId="1569" priority="18" operator="lessThan">
      <formula>0.8</formula>
    </cfRule>
  </conditionalFormatting>
  <conditionalFormatting sqref="O20">
    <cfRule type="cellIs" dxfId="1568" priority="9" operator="greaterThan">
      <formula>0</formula>
    </cfRule>
  </conditionalFormatting>
  <conditionalFormatting sqref="P20">
    <cfRule type="cellIs" dxfId="1567" priority="12" operator="lessThan">
      <formula>0</formula>
    </cfRule>
  </conditionalFormatting>
  <conditionalFormatting sqref="Q20">
    <cfRule type="cellIs" dxfId="1566" priority="10" operator="greaterThan">
      <formula>1</formula>
    </cfRule>
    <cfRule type="cellIs" dxfId="1565" priority="11" operator="lessThan">
      <formula>0.8</formula>
    </cfRule>
  </conditionalFormatting>
  <conditionalFormatting sqref="AG20 R20">
    <cfRule type="cellIs" dxfId="1564" priority="13" operator="lessThan">
      <formula>0.8</formula>
    </cfRule>
  </conditionalFormatting>
  <conditionalFormatting sqref="P8">
    <cfRule type="cellIs" dxfId="1563" priority="8" operator="lessThan">
      <formula>0</formula>
    </cfRule>
  </conditionalFormatting>
  <conditionalFormatting sqref="P21">
    <cfRule type="cellIs" dxfId="1562" priority="7" operator="lessThan">
      <formula>0</formula>
    </cfRule>
  </conditionalFormatting>
  <conditionalFormatting sqref="P28">
    <cfRule type="cellIs" dxfId="1561" priority="6" operator="lessThan">
      <formula>0</formula>
    </cfRule>
  </conditionalFormatting>
  <conditionalFormatting sqref="P37">
    <cfRule type="cellIs" dxfId="1560" priority="5" operator="lessThan">
      <formula>0</formula>
    </cfRule>
  </conditionalFormatting>
  <conditionalFormatting sqref="P50">
    <cfRule type="cellIs" dxfId="1559" priority="4" operator="lessThan">
      <formula>0</formula>
    </cfRule>
  </conditionalFormatting>
  <conditionalFormatting sqref="P58">
    <cfRule type="cellIs" dxfId="1558" priority="3" operator="lessThan">
      <formula>0</formula>
    </cfRule>
  </conditionalFormatting>
  <conditionalFormatting sqref="P63">
    <cfRule type="cellIs" dxfId="1557" priority="2" operator="lessThan">
      <formula>0</formula>
    </cfRule>
  </conditionalFormatting>
  <conditionalFormatting sqref="P70">
    <cfRule type="cellIs" dxfId="1556" priority="1" operator="lessThan">
      <formula>0</formula>
    </cfRule>
  </conditionalFormatting>
  <dataValidations count="1">
    <dataValidation type="list" allowBlank="1" showInputMessage="1" showErrorMessage="1" sqref="AB8 AA5:AB7 AA8:AA62 AB10:AB59 AA63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B10" sqref="B10:C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2187</v>
      </c>
      <c r="C3" s="601" t="str">
        <f>TEXT('0624 4度C'!A2,"yyyy.mm.ddaaaa")</f>
        <v>2026.06.24星期三</v>
      </c>
      <c r="D3" s="602"/>
      <c r="E3" s="39" t="s">
        <v>2188</v>
      </c>
      <c r="F3" s="603">
        <f>'0624 4度C'!D1</f>
        <v>182320</v>
      </c>
      <c r="G3" s="604"/>
      <c r="H3" s="39" t="s">
        <v>2189</v>
      </c>
      <c r="I3" s="605">
        <f>'0624 4度C'!F1</f>
        <v>6194249.9399999995</v>
      </c>
      <c r="J3" s="606"/>
      <c r="K3" s="40"/>
      <c r="L3" s="41"/>
      <c r="M3" s="42"/>
      <c r="N3" s="42"/>
    </row>
    <row r="4" spans="2:17" ht="28.5" customHeight="1">
      <c r="B4" s="607" t="s">
        <v>2190</v>
      </c>
      <c r="C4" s="593" t="s">
        <v>2191</v>
      </c>
      <c r="D4" s="594"/>
      <c r="E4" s="610" t="s">
        <v>2192</v>
      </c>
      <c r="F4" s="611"/>
      <c r="G4" s="610" t="s">
        <v>2193</v>
      </c>
      <c r="H4" s="611"/>
      <c r="I4" s="610" t="s">
        <v>2194</v>
      </c>
      <c r="J4" s="611"/>
      <c r="K4" s="591" t="s">
        <v>2195</v>
      </c>
      <c r="L4" s="592"/>
      <c r="M4" s="592" t="s">
        <v>2196</v>
      </c>
      <c r="N4" s="592"/>
    </row>
    <row r="5" spans="2:17" ht="28.5" customHeight="1">
      <c r="B5" s="608"/>
      <c r="C5" s="593" t="s">
        <v>2197</v>
      </c>
      <c r="D5" s="594"/>
      <c r="E5" s="593" t="s">
        <v>2198</v>
      </c>
      <c r="F5" s="594"/>
      <c r="G5" s="595" t="s">
        <v>2199</v>
      </c>
      <c r="H5" s="596"/>
      <c r="I5" s="597" t="s">
        <v>2200</v>
      </c>
      <c r="J5" s="598"/>
      <c r="K5" s="43" t="s">
        <v>2201</v>
      </c>
      <c r="L5" s="44" t="s">
        <v>2202</v>
      </c>
      <c r="M5" s="43" t="s">
        <v>2201</v>
      </c>
      <c r="N5" s="44" t="s">
        <v>2203</v>
      </c>
    </row>
    <row r="6" spans="2:17" ht="28.5" customHeight="1">
      <c r="B6" s="608"/>
      <c r="C6" s="593" t="s">
        <v>58</v>
      </c>
      <c r="D6" s="594"/>
      <c r="E6" s="585">
        <f>AVERAGE(D13:M13)</f>
        <v>154.91783906140171</v>
      </c>
      <c r="F6" s="586">
        <f>AVERAGE(D31:O31,D13:J13)</f>
        <v>162.53275162238123</v>
      </c>
      <c r="G6" s="587">
        <f>AVERAGE(D13:J13)</f>
        <v>162.53275162238123</v>
      </c>
      <c r="H6" s="588"/>
      <c r="I6" s="587">
        <f>AVERAGE(K13:M13)</f>
        <v>137.14970975244947</v>
      </c>
      <c r="J6" s="588"/>
      <c r="K6" s="589">
        <f>'0624 4度C'!Y2</f>
        <v>0</v>
      </c>
      <c r="L6" s="574">
        <f>'0624 4度C'!Z2</f>
        <v>0</v>
      </c>
      <c r="M6" s="590">
        <f>'0624 4度C'!AC2</f>
        <v>65</v>
      </c>
      <c r="N6" s="574">
        <f>'0624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148.35295474961464</v>
      </c>
      <c r="F7" s="578">
        <f>AVERAGE(D32:O32,D14:J14)</f>
        <v>155.74694994806558</v>
      </c>
      <c r="G7" s="579">
        <f>AVERAGE(D14:J14)</f>
        <v>155.74694994806558</v>
      </c>
      <c r="H7" s="580"/>
      <c r="I7" s="579">
        <f>AVERAGE(K14:M14)</f>
        <v>131.10029928656238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0.95714189481554279</v>
      </c>
      <c r="F8" s="582">
        <f>AVERAGE(D15:J15,D33:O33)</f>
        <v>0.95766754340839988</v>
      </c>
      <c r="G8" s="583">
        <f>AVERAGE(D15:J15)</f>
        <v>0.95766754340839988</v>
      </c>
      <c r="H8" s="584"/>
      <c r="I8" s="583">
        <f>AVERAGE(K15:M15)</f>
        <v>0.95591538143220933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2204</v>
      </c>
      <c r="N9" s="42"/>
      <c r="O9" s="42"/>
      <c r="P9" s="42"/>
      <c r="Q9" s="42"/>
    </row>
    <row r="10" spans="2:17" ht="30" customHeight="1">
      <c r="B10" s="557" t="s">
        <v>2205</v>
      </c>
      <c r="C10" s="558"/>
      <c r="D10" s="559" t="s">
        <v>2206</v>
      </c>
      <c r="E10" s="560"/>
      <c r="F10" s="560"/>
      <c r="G10" s="560"/>
      <c r="H10" s="560"/>
      <c r="I10" s="560"/>
      <c r="J10" s="561"/>
      <c r="K10" s="562" t="s">
        <v>2207</v>
      </c>
      <c r="L10" s="563"/>
      <c r="M10" s="564"/>
      <c r="P10" s="48"/>
      <c r="Q10" s="48"/>
    </row>
    <row r="11" spans="2:17" ht="17.25" customHeight="1">
      <c r="B11" s="565" t="s">
        <v>2208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2209</v>
      </c>
      <c r="C13" s="55" t="s">
        <v>110</v>
      </c>
      <c r="D13" s="56">
        <f>SUMIFS('0624 4度C'!$K:$K,'0624 4度C'!$A:$A,"新豐6線",'0624 4度C'!$B:$B,"平均")</f>
        <v>130.43478260869566</v>
      </c>
      <c r="E13" s="57">
        <f>SUMIFS('0624 4度C'!$K:$K,'0624 4度C'!$A:$A,"新豐2線",'0624 4度C'!$B:$B,"平均")</f>
        <v>89.552238805970148</v>
      </c>
      <c r="F13" s="58">
        <f>SUMIFS('0624 4度C'!$K:$K,'0624 4度C'!$A:$A,"新豐5線",'0624 4度C'!$B:$B,"平均")</f>
        <v>87.786259541984734</v>
      </c>
      <c r="G13" s="58">
        <f>SUMIFS('0624 4度C'!$K:$K,'0624 4度C'!$A:$A,"新豐7線",'0624 4度C'!$B:$B,"平均")</f>
        <v>127.65957446808511</v>
      </c>
      <c r="H13" s="58">
        <f>SUMIFS('0624 4度C'!$K:$K,'0624 4度C'!$A:$A,"新豐3線",'0624 4度C'!$B:$B,"平均")</f>
        <v>264.15094339622641</v>
      </c>
      <c r="I13" s="58">
        <f>SUMIFS('0624 4度C'!$K:$K,'0624 4度C'!$A:$A,"新豐1線",'0624 4度C'!$B:$B,"平均")</f>
        <v>113.82113821138211</v>
      </c>
      <c r="J13" s="59">
        <f>SUMIFS('0624 4度C'!$K:$K,'0624 4度C'!$A:$A,"新豐10線",'0624 4度C'!$B:$B,"平均")</f>
        <v>324.32432432432432</v>
      </c>
      <c r="K13" s="60">
        <f>SUMIFS('0624 4度C'!$K:$K,'0624 4度C'!$A:$A,"新豐8線",'0624 4度C'!$B:$B,"平均")</f>
        <v>131.50684931506851</v>
      </c>
      <c r="L13" s="61">
        <f>SUMIFS('0624 4度C'!$K:$K,'0624 4度C'!$A:$A,"新豐9線",'0624 4度C'!$B:$B,"平均")</f>
        <v>140.25974025974025</v>
      </c>
      <c r="M13" s="59">
        <f>SUMIFS('0624 4度C'!$K:$K,'0624 4度C'!$A:$A,"新豐4線",'0624 4度C'!$B:$B,"平均")</f>
        <v>139.68253968253967</v>
      </c>
    </row>
    <row r="14" spans="2:17" ht="39.6" customHeight="1">
      <c r="B14" s="570"/>
      <c r="C14" s="62" t="s">
        <v>2210</v>
      </c>
      <c r="D14" s="63">
        <f>SUMIFS('0624 4度C'!$N:$N,'0624 4度C'!$A:$A,"新豐6線",'0624 4度C'!$B:$B,"平均")</f>
        <v>125.04014328063251</v>
      </c>
      <c r="E14" s="64">
        <f>SUMIFS('0624 4度C'!$N:$N,'0624 4度C'!$A:$A,"新豐2線",'0624 4度C'!$B:$B,"平均")</f>
        <v>85.569558503529166</v>
      </c>
      <c r="F14" s="64">
        <f>SUMIFS('0624 4度C'!$N:$N,'0624 4度C'!$A:$A,"新豐5線",'0624 4度C'!$B:$B,"平均")</f>
        <v>83.956823381414793</v>
      </c>
      <c r="G14" s="64">
        <f>SUMIFS('0624 4度C'!$N:$N,'0624 4度C'!$A:$A,"新豐7線",'0624 4度C'!$B:$B,"平均")</f>
        <v>122.36938914041795</v>
      </c>
      <c r="H14" s="64">
        <f>SUMIFS('0624 4度C'!$N:$N,'0624 4度C'!$A:$A,"新豐3線",'0624 4度C'!$B:$B,"平均")</f>
        <v>253.47827703151282</v>
      </c>
      <c r="I14" s="64">
        <f>SUMIFS('0624 4度C'!$N:$N,'0624 4度C'!$A:$A,"新豐1線",'0624 4度C'!$B:$B,"平均")</f>
        <v>108.82169820302516</v>
      </c>
      <c r="J14" s="65">
        <f>SUMIFS('0624 4度C'!$N:$N,'0624 4度C'!$A:$A,"新豐10線",'0624 4度C'!$B:$B,"平均")</f>
        <v>310.99276009592688</v>
      </c>
      <c r="K14" s="66">
        <f>SUMIFS('0624 4度C'!$N:$N,'0624 4度C'!$A:$A,"新豐8線",'0624 4度C'!$B:$B,"平均")</f>
        <v>125.86088996832895</v>
      </c>
      <c r="L14" s="67">
        <f>SUMIFS('0624 4度C'!$N:$N,'0624 4度C'!$A:$A,"新豐9線",'0624 4度C'!$B:$B,"平均")</f>
        <v>134.01892694283109</v>
      </c>
      <c r="M14" s="65">
        <f>SUMIFS('0624 4度C'!$N:$N,'0624 4度C'!$A:$A,"新豐4線",'0624 4度C'!$B:$B,"平均")</f>
        <v>133.42108094852708</v>
      </c>
    </row>
    <row r="15" spans="2:17" ht="40.15" customHeight="1">
      <c r="B15" s="571"/>
      <c r="C15" s="68" t="s">
        <v>2211</v>
      </c>
      <c r="D15" s="69">
        <f t="shared" ref="D15:M15" si="0">D14/D13</f>
        <v>0.95864109848484924</v>
      </c>
      <c r="E15" s="70">
        <f t="shared" si="0"/>
        <v>0.95552673662274235</v>
      </c>
      <c r="F15" s="70">
        <f t="shared" si="0"/>
        <v>0.95637772721437719</v>
      </c>
      <c r="G15" s="70">
        <f t="shared" si="0"/>
        <v>0.95856021493327392</v>
      </c>
      <c r="H15" s="70">
        <f t="shared" si="0"/>
        <v>0.95959633447644144</v>
      </c>
      <c r="I15" s="70">
        <f t="shared" si="0"/>
        <v>0.95607634849800682</v>
      </c>
      <c r="J15" s="71">
        <f t="shared" si="0"/>
        <v>0.95889434362910786</v>
      </c>
      <c r="K15" s="69">
        <f t="shared" si="0"/>
        <v>0.95706718413416791</v>
      </c>
      <c r="L15" s="70">
        <f t="shared" si="0"/>
        <v>0.95550531246277726</v>
      </c>
      <c r="M15" s="71">
        <f t="shared" si="0"/>
        <v>0.9551736476996826</v>
      </c>
    </row>
    <row r="16" spans="2:17" ht="17.25" customHeight="1">
      <c r="B16" s="572" t="s">
        <v>2212</v>
      </c>
      <c r="C16" s="72" t="s">
        <v>2213</v>
      </c>
      <c r="D16" s="73">
        <f>VLOOKUP("新豐6線",'0624 4度C'!$A:$T,19,0)</f>
        <v>0.70833333333333337</v>
      </c>
      <c r="E16" s="74">
        <f>VLOOKUP("新豐2線",'0624 4度C'!$A:$T,19,0)</f>
        <v>8.3333333333333329E-2</v>
      </c>
      <c r="F16" s="74">
        <f>VLOOKUP("新豐5線",'0624 4度C'!$A:$T,19,0)</f>
        <v>8.3333333333333329E-2</v>
      </c>
      <c r="G16" s="74">
        <f>VLOOKUP("新豐7線",'0624 4度C'!$A:$T,19,0)</f>
        <v>0.29166666666666669</v>
      </c>
      <c r="H16" s="74">
        <f>VLOOKUP("新豐3線",'0624 4度C'!$A:$T,19,0)</f>
        <v>0.16666666666666666</v>
      </c>
      <c r="I16" s="74">
        <f>VLOOKUP("新豐1線",'0624 4度C'!$A:$T,19,0)</f>
        <v>0.16666666666666666</v>
      </c>
      <c r="J16" s="75">
        <f>VLOOKUP("新豐10線",'0624 4度C'!$A:$T,19,0)</f>
        <v>0.20833333333333334</v>
      </c>
      <c r="K16" s="76">
        <f>VLOOKUP("新豐8線",'0624 4度C'!$A:$T,19,0)</f>
        <v>8.3333333333333329E-2</v>
      </c>
      <c r="L16" s="77">
        <f>VLOOKUP("新豐9線",'0624 4度C'!$A:$T,19,0)</f>
        <v>8.3333333333333329E-2</v>
      </c>
      <c r="M16" s="78">
        <f>VLOOKUP("新豐4線",'0624 4度C'!$A:$T,19,0)</f>
        <v>8.3333333333333329E-2</v>
      </c>
    </row>
    <row r="17" spans="2:13" ht="17.25" customHeight="1">
      <c r="B17" s="573"/>
      <c r="C17" s="72" t="s">
        <v>2214</v>
      </c>
      <c r="D17" s="76">
        <f>LOOKUP(2,1/(('0624 4度C'!$A:$A="新豐6線")*('0624 4度C'!$T:$T&lt;&gt;"")),'0624 4度C'!$T:$T)</f>
        <v>0.83749999999999991</v>
      </c>
      <c r="E17" s="74">
        <f>LOOKUP(2,1/(('0624 4度C'!$A:$A="新豐2線")*('0624 4度C'!$T:$T&lt;&gt;"")),'0624 4度C'!$T:$T)</f>
        <v>0.73958333333333326</v>
      </c>
      <c r="F17" s="74">
        <f>LOOKUP(2,1/(('0624 4度C'!$A:$A="新豐5線")*('0624 4度C'!$T:$T&lt;&gt;"")),'0624 4度C'!$T:$T)</f>
        <v>0.8041666666666667</v>
      </c>
      <c r="G17" s="74">
        <f>LOOKUP(2,1/(('0624 4度C'!$A:$A="新豐7線")*('0624 4度C'!$T:$T&lt;&gt;"")),'0624 4度C'!$T:$T)</f>
        <v>0.81874999999999998</v>
      </c>
      <c r="H17" s="74">
        <f>LOOKUP(2,1/(('0624 4度C'!$A:$A="新豐3線")*('0624 4度C'!$T:$T&lt;&gt;"")),'0624 4度C'!$T:$T)</f>
        <v>0.4951388888888888</v>
      </c>
      <c r="I17" s="74">
        <f>LOOKUP(2,1/(('0624 4度C'!$A:$A="新豐1線")*('0624 4度C'!$T:$T&lt;&gt;"")),'0624 4度C'!$T:$T)</f>
        <v>0.8388888888888888</v>
      </c>
      <c r="J17" s="75">
        <f>LOOKUP(2,1/(('0624 4度C'!$A:$A="新豐10線")*('0624 4度C'!$T:$T&lt;&gt;"")),'0624 4度C'!$T:$T)</f>
        <v>0.38055555555555554</v>
      </c>
      <c r="K17" s="73">
        <f>LOOKUP(2,1/(('0624 4度C'!$A:$A="新豐8線")*('0624 4度C'!$T:$T&lt;&gt;"")),'0624 4度C'!$T:$T)</f>
        <v>0.6993055555555554</v>
      </c>
      <c r="L17" s="74">
        <f>LOOKUP(2,1/(('0624 4度C'!$A:$A="新豐9線")*('0624 4度C'!$T:$T&lt;&gt;"")),'0624 4度C'!$T:$T)</f>
        <v>0.70416666666666661</v>
      </c>
      <c r="M17" s="75">
        <f>LOOKUP(2,1/(('0624 4度C'!$A:$A="新豐4線")*('0624 4度C'!$T:$T&lt;&gt;"")),'0624 4度C'!$T:$T)</f>
        <v>0.72013888888888877</v>
      </c>
    </row>
    <row r="18" spans="2:13" ht="17.25" customHeight="1">
      <c r="B18" s="551" t="s">
        <v>2215</v>
      </c>
      <c r="C18" s="79" t="s">
        <v>2216</v>
      </c>
      <c r="D18" s="80">
        <f>SUMIFS('0624 4度C'!$Y:$Y,'0624 4度C'!$A:$A,"新豐6線",'0624 4度C'!$B:$B,"平均")</f>
        <v>0</v>
      </c>
      <c r="E18" s="81">
        <f>SUMIFS('0624 4度C'!$Y:$Y,'0624 4度C'!$A:$A,"新豐2線",'0624 4度C'!$B:$B,"平均")</f>
        <v>0</v>
      </c>
      <c r="F18" s="81">
        <f>SUMIFS('0624 4度C'!$Y:$Y,'0624 4度C'!$A:$A,"新豐5線",'0624 4度C'!$B:$B,"平均")</f>
        <v>0</v>
      </c>
      <c r="G18" s="81">
        <f>SUMIFS('0624 4度C'!$Y:$Y,'0624 4度C'!$A:$A,"新豐7線",'0624 4度C'!$B:$B,"平均")</f>
        <v>0</v>
      </c>
      <c r="H18" s="81">
        <f>SUMIFS('0624 4度C'!$Y:$Y,'0624 4度C'!$A:$A,"新豐3線",'0624 4度C'!$B:$B,"平均")</f>
        <v>0</v>
      </c>
      <c r="I18" s="81">
        <f>SUMIFS('0624 4度C'!$Y:$Y,'0624 4度C'!$A:$A,"新豐1線",'0624 4度C'!$B:$B,"平均")</f>
        <v>0</v>
      </c>
      <c r="J18" s="82">
        <f>SUMIFS('0624 4度C'!$Y:$Y,'0624 4度C'!$A:$A,"新豐10線",'0624 4度C'!$B:$B,"平均")</f>
        <v>0</v>
      </c>
      <c r="K18" s="83">
        <f>SUMIFS('0624 4度C'!$Y:$Y,'0624 4度C'!$A:$A,"新豐8線",'0624 4度C'!$B:$B,"平均")</f>
        <v>0</v>
      </c>
      <c r="L18" s="81">
        <f>SUMIFS('0624 4度C'!$Y:$Y,'0624 4度C'!$A:$A,"新豐9線",'0624 4度C'!$B:$B,"平均")</f>
        <v>0</v>
      </c>
      <c r="M18" s="82">
        <f>SUMIFS('0624 4度C'!$Y:$Y,'0624 4度C'!$A:$A,"新豐4線",'0624 4度C'!$B:$B,"平均")</f>
        <v>0</v>
      </c>
    </row>
    <row r="19" spans="2:13" ht="17.25" customHeight="1">
      <c r="B19" s="552"/>
      <c r="C19" s="79" t="s">
        <v>2217</v>
      </c>
      <c r="D19" s="80">
        <f>SUMIFS('0624 4度C'!$Z:$Z,'0624 4度C'!$A:$A,"新豐6線",'0624 4度C'!$B:$B,"平均")</f>
        <v>0</v>
      </c>
      <c r="E19" s="81">
        <f>SUMIFS('0624 4度C'!$Z:$Z,'0624 4度C'!$A:$A,"新豐2線",'0624 4度C'!$B:$B,"平均")</f>
        <v>0</v>
      </c>
      <c r="F19" s="81">
        <f>SUMIFS('0624 4度C'!$Z:$Z,'0624 4度C'!$A:$A,"新豐5線",'0624 4度C'!$B:$B,"平均")</f>
        <v>0</v>
      </c>
      <c r="G19" s="81">
        <f>SUMIFS('0624 4度C'!$Z:$Z,'0624 4度C'!$A:$A,"新豐7線",'0624 4度C'!$B:$B,"平均")</f>
        <v>0</v>
      </c>
      <c r="H19" s="81">
        <f>SUMIFS('0624 4度C'!$Z:$Z,'0624 4度C'!$A:$A,"新豐3線",'0624 4度C'!$B:$B,"平均")</f>
        <v>0</v>
      </c>
      <c r="I19" s="81">
        <f>SUMIFS('0624 4度C'!$Z:$Z,'0624 4度C'!$A:$A,"新豐1線",'0624 4度C'!$B:$B,"平均")</f>
        <v>0</v>
      </c>
      <c r="J19" s="82">
        <f>SUMIFS('0624 4度C'!$Z:$Z,'0624 4度C'!$A:$A,"新豐10線",'0624 4度C'!$B:$B,"平均")</f>
        <v>0</v>
      </c>
      <c r="K19" s="83">
        <f>SUMIFS('0624 4度C'!$Z:$Z,'0624 4度C'!$A:$A,"新豐8線",'0624 4度C'!$B:$B,"平均")</f>
        <v>0</v>
      </c>
      <c r="L19" s="81">
        <f>SUMIFS('0624 4度C'!$Z:$Z,'0624 4度C'!$A:$A,"新豐9線",'0624 4度C'!$B:$B,"平均")</f>
        <v>0</v>
      </c>
      <c r="M19" s="82">
        <f>SUMIFS('0624 4度C'!$Z:$Z,'0624 4度C'!$A:$A,"新豐4線",'0624 4度C'!$B:$B,"平均")</f>
        <v>0</v>
      </c>
    </row>
    <row r="20" spans="2:13" ht="17.25" customHeight="1">
      <c r="B20" s="551" t="s">
        <v>2218</v>
      </c>
      <c r="C20" s="79" t="s">
        <v>2216</v>
      </c>
      <c r="D20" s="80">
        <f>SUMIFS('0624 4度C'!$AC:$AC,'0624 4度C'!$A:$A,"新豐6線",'0624 4度C'!$B:$B,"平均")</f>
        <v>3</v>
      </c>
      <c r="E20" s="81">
        <f>SUMIFS('0624 4度C'!$AC:$AC,'0624 4度C'!$A:$A,"新豐2線",'0624 4度C'!$B:$B,"平均")</f>
        <v>8</v>
      </c>
      <c r="F20" s="81">
        <f>SUMIFS('0624 4度C'!$AC:$AC,'0624 4度C'!$A:$A,"新豐5線",'0624 4度C'!$B:$B,"平均")</f>
        <v>7</v>
      </c>
      <c r="G20" s="81">
        <f>SUMIFS('0624 4度C'!$AC:$AC,'0624 4度C'!$A:$A,"新豐7線",'0624 4度C'!$B:$B,"平均")</f>
        <v>6</v>
      </c>
      <c r="H20" s="81">
        <f>SUMIFS('0624 4度C'!$AC:$AC,'0624 4度C'!$A:$A,"新豐3線",'0624 4度C'!$B:$B,"平均")</f>
        <v>5</v>
      </c>
      <c r="I20" s="81">
        <f>SUMIFS('0624 4度C'!$AC:$AC,'0624 4度C'!$A:$A,"新豐1線",'0624 4度C'!$B:$B,"平均")</f>
        <v>7</v>
      </c>
      <c r="J20" s="82">
        <f>SUMIFS('0624 4度C'!$AC:$AC,'0624 4度C'!$A:$A,"新豐10線",'0624 4度C'!$B:$B,"平均")</f>
        <v>4</v>
      </c>
      <c r="K20" s="83">
        <f>SUMIFS('0624 4度C'!$AC:$AC,'0624 4度C'!$A:$A,"新豐8線",'0624 4度C'!$B:$B,"平均")</f>
        <v>8</v>
      </c>
      <c r="L20" s="81">
        <f>SUMIFS('0624 4度C'!$AC:$AC,'0624 4度C'!$A:$A,"新豐9線",'0624 4度C'!$B:$B,"平均")</f>
        <v>9</v>
      </c>
      <c r="M20" s="82">
        <f>SUMIFS('0624 4度C'!$AC:$AC,'0624 4度C'!$A:$A,"新豐4線",'0624 4度C'!$B:$B,"平均")</f>
        <v>8</v>
      </c>
    </row>
    <row r="21" spans="2:13" ht="17.25" customHeight="1">
      <c r="B21" s="552"/>
      <c r="C21" s="79" t="s">
        <v>2219</v>
      </c>
      <c r="D21" s="80">
        <f>SUMIFS('0624 4度C'!$AD:$AD,'0624 4度C'!$A:$A,"新豐6線",'0624 4度C'!$B:$B,"平均")</f>
        <v>0</v>
      </c>
      <c r="E21" s="81">
        <f>SUMIFS('0624 4度C'!$AD:$AD,'0624 4度C'!$A:$A,"新豐2線",'0624 4度C'!$B:$B,"平均")</f>
        <v>0</v>
      </c>
      <c r="F21" s="81">
        <f>SUMIFS('0624 4度C'!$AD:$AD,'0624 4度C'!$A:$A,"新豐5線",'0624 4度C'!$B:$B,"平均")</f>
        <v>0</v>
      </c>
      <c r="G21" s="81">
        <f>SUMIFS('0624 4度C'!$AD:$AD,'0624 4度C'!$A:$A,"新豐7線",'0624 4度C'!$B:$B,"平均")</f>
        <v>0</v>
      </c>
      <c r="H21" s="81">
        <f>SUMIFS('0624 4度C'!$AD:$AD,'0624 4度C'!$A:$A,"新豐3線",'0624 4度C'!$B:$B,"平均")</f>
        <v>0</v>
      </c>
      <c r="I21" s="81">
        <f>SUMIFS('0624 4度C'!$AD:$AD,'0624 4度C'!$A:$A,"新豐1線",'0624 4度C'!$B:$B,"平均")</f>
        <v>0</v>
      </c>
      <c r="J21" s="82">
        <f>SUMIFS('0624 4度C'!$AD:$AD,'0624 4度C'!$A:$A,"新豐10線",'0624 4度C'!$B:$B,"平均")</f>
        <v>0</v>
      </c>
      <c r="K21" s="83">
        <f>SUMIFS('0624 4度C'!$AD:$AD,'0624 4度C'!$A:$A,"新豐8線",'0624 4度C'!$B:$B,"平均")</f>
        <v>0</v>
      </c>
      <c r="L21" s="81">
        <f>SUMIFS('0624 4度C'!$AD:$AD,'0624 4度C'!$A:$A,"新豐9線",'0624 4度C'!$B:$B,"平均")</f>
        <v>0</v>
      </c>
      <c r="M21" s="82">
        <f>SUMIFS('0624 4度C'!$AD:$AD,'0624 4度C'!$A:$A,"新豐4線",'0624 4度C'!$B:$B,"平均")</f>
        <v>0</v>
      </c>
    </row>
    <row r="22" spans="2:13" ht="17.25" customHeight="1">
      <c r="B22" s="553" t="s">
        <v>2220</v>
      </c>
      <c r="C22" s="554"/>
      <c r="D22" s="84">
        <f>SUMIFS('0624 4度C'!$I:$I,'0624 4度C'!$A:$A,"新豐6線",'0624 4度C'!$B:$B,"平均")</f>
        <v>15.333333333333334</v>
      </c>
      <c r="E22" s="85">
        <f>SUMIFS('0624 4度C'!$I:$I,'0624 4度C'!$A:$A,"新豐2線",'0624 4度C'!$B:$B,"平均")</f>
        <v>16.75</v>
      </c>
      <c r="F22" s="85">
        <f>SUMIFS('0624 4度C'!$I:$I,'0624 4度C'!$A:$A,"新豐5線",'0624 4度C'!$B:$B,"平均")</f>
        <v>18.714285714285715</v>
      </c>
      <c r="G22" s="85">
        <f>SUMIFS('0624 4度C'!$I:$I,'0624 4度C'!$A:$A,"新豐7線",'0624 4度C'!$B:$B,"平均")</f>
        <v>15.666666666666666</v>
      </c>
      <c r="H22" s="85">
        <f>SUMIFS('0624 4度C'!$I:$I,'0624 4度C'!$A:$A,"新豐3線",'0624 4度C'!$B:$B,"平均")</f>
        <v>10.6</v>
      </c>
      <c r="I22" s="85">
        <f>SUMIFS('0624 4度C'!$I:$I,'0624 4度C'!$A:$A,"新豐1線",'0624 4度C'!$B:$B,"平均")</f>
        <v>17.571428571428573</v>
      </c>
      <c r="J22" s="86">
        <f>SUMIFS('0624 4度C'!$I:$I,'0624 4度C'!$A:$A,"新豐10線",'0624 4度C'!$B:$B,"平均")</f>
        <v>9.25</v>
      </c>
      <c r="K22" s="84">
        <f>SUMIFS('0624 4度C'!$I:$I,'0624 4度C'!$A:$A,"新豐8線",'0624 4度C'!$B:$B,"平均")</f>
        <v>18.25</v>
      </c>
      <c r="L22" s="85">
        <f>SUMIFS('0624 4度C'!$I:$I,'0624 4度C'!$A:$A,"新豐9線",'0624 4度C'!$B:$B,"平均")</f>
        <v>17.111111111111111</v>
      </c>
      <c r="M22" s="86">
        <f>SUMIFS('0624 4度C'!$I:$I,'0624 4度C'!$A:$A,"新豐4線",'0624 4度C'!$B:$B,"平均")</f>
        <v>15.75</v>
      </c>
    </row>
    <row r="23" spans="2:13" ht="17.25" customHeight="1">
      <c r="B23" s="553" t="s">
        <v>2221</v>
      </c>
      <c r="C23" s="554"/>
      <c r="D23" s="87" t="s">
        <v>71</v>
      </c>
      <c r="E23" s="88" t="s">
        <v>72</v>
      </c>
      <c r="F23" s="88" t="s">
        <v>2222</v>
      </c>
      <c r="G23" s="88" t="s">
        <v>2222</v>
      </c>
      <c r="H23" s="88" t="s">
        <v>73</v>
      </c>
      <c r="I23" s="88" t="s">
        <v>71</v>
      </c>
      <c r="J23" s="89" t="s">
        <v>73</v>
      </c>
      <c r="K23" s="87" t="s">
        <v>2223</v>
      </c>
      <c r="L23" s="88" t="s">
        <v>2223</v>
      </c>
      <c r="M23" s="89" t="s">
        <v>2223</v>
      </c>
    </row>
    <row r="24" spans="2:13" ht="17.25" customHeight="1">
      <c r="B24" s="553" t="s">
        <v>2224</v>
      </c>
      <c r="C24" s="554"/>
      <c r="D24" s="87"/>
      <c r="E24" s="88"/>
      <c r="F24" s="88" t="s">
        <v>2225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2226</v>
      </c>
      <c r="C25" s="556"/>
      <c r="D25" s="90"/>
      <c r="E25" s="91" t="s">
        <v>2227</v>
      </c>
      <c r="F25" s="549" t="s">
        <v>2228</v>
      </c>
      <c r="G25" s="550"/>
      <c r="H25" s="91" t="s">
        <v>2229</v>
      </c>
      <c r="I25" s="91" t="s">
        <v>2230</v>
      </c>
      <c r="J25" s="92" t="s">
        <v>2229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0"/>
  <sheetViews>
    <sheetView zoomScale="80" zoomScaleNormal="80" workbookViewId="0">
      <pane ySplit="4" topLeftCell="A5" activePane="bottomLeft" state="frozen"/>
      <selection activeCell="D10" sqref="D10:J10"/>
      <selection pane="bottomLeft" activeCell="C39" sqref="C39:D3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2231</v>
      </c>
      <c r="B1" s="1"/>
      <c r="C1" s="2" t="s">
        <v>2232</v>
      </c>
      <c r="D1" s="3">
        <f>SUM(F5:F79)</f>
        <v>182320</v>
      </c>
      <c r="E1" s="462" t="s">
        <v>2233</v>
      </c>
      <c r="F1" s="1">
        <f>SUM(G5:G79)</f>
        <v>6194249.9399999995</v>
      </c>
      <c r="G1" s="1" t="s">
        <v>2234</v>
      </c>
      <c r="H1" s="4">
        <f>L8+L17+L57+L65+L25+L70+L41+L51+L32+L79</f>
        <v>154.99682539682539</v>
      </c>
      <c r="I1" s="663" t="s">
        <v>2235</v>
      </c>
      <c r="J1" s="663"/>
      <c r="K1" s="663"/>
      <c r="L1" s="663" t="s">
        <v>2236</v>
      </c>
      <c r="M1" s="663"/>
      <c r="N1" s="663"/>
      <c r="O1" s="663" t="s">
        <v>2237</v>
      </c>
      <c r="P1" s="663"/>
      <c r="Q1" s="663"/>
      <c r="R1" s="663"/>
      <c r="S1" s="663" t="s">
        <v>2238</v>
      </c>
      <c r="T1" s="663"/>
      <c r="U1" s="663"/>
      <c r="V1" s="663"/>
      <c r="W1" s="663"/>
      <c r="X1" s="663"/>
      <c r="Y1" s="5" t="s">
        <v>2239</v>
      </c>
      <c r="Z1" s="6" t="s">
        <v>2240</v>
      </c>
      <c r="AA1" s="664" t="s">
        <v>2241</v>
      </c>
      <c r="AB1" s="664"/>
      <c r="AC1" s="188" t="s">
        <v>2242</v>
      </c>
      <c r="AD1" s="6" t="s">
        <v>2243</v>
      </c>
      <c r="AE1" s="663" t="s">
        <v>2244</v>
      </c>
      <c r="AF1" s="665"/>
      <c r="AG1" s="665"/>
    </row>
    <row r="2" spans="1:33" ht="26.25" customHeight="1">
      <c r="A2" s="27">
        <v>46197</v>
      </c>
      <c r="B2" s="28" t="s">
        <v>337</v>
      </c>
      <c r="C2" s="2" t="s">
        <v>2245</v>
      </c>
      <c r="D2" s="8">
        <f>AVERAGE(N8,N17,N57,N65,N25,N70,N32,N41,N51,N79)</f>
        <v>148.35295474961464</v>
      </c>
      <c r="E2" s="9" t="s">
        <v>0</v>
      </c>
      <c r="F2" s="10">
        <f>F1/D1</f>
        <v>33.974604760860025</v>
      </c>
      <c r="G2" s="1" t="s">
        <v>2246</v>
      </c>
      <c r="H2" s="470">
        <f>COUNT(H5:H79)</f>
        <v>16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SUM(Y8+Y17+Y25+Y32+Y41+Y51+Y57+Y65+Y70+Y79)</f>
        <v>0</v>
      </c>
      <c r="Z2" s="11">
        <f>SUM(Z8+Z17+Z25+Z32+Z41+Z51+Z57+Z65+Z70+Z79)</f>
        <v>0</v>
      </c>
      <c r="AA2" s="664"/>
      <c r="AB2" s="664"/>
      <c r="AC2" s="11">
        <f>SUM(AC8+AC17+AC25+AC32+AC41+AC51+AC57+AC65+AC70+AC79)</f>
        <v>65</v>
      </c>
      <c r="AD2" s="11">
        <f>SUM(AD8+AD17+AD25+AD32+AD41+AD51+AD57+AD65+AD70+AD79)</f>
        <v>0</v>
      </c>
      <c r="AE2" s="665"/>
      <c r="AF2" s="665"/>
      <c r="AG2" s="665"/>
    </row>
    <row r="3" spans="1:33" ht="40.5" customHeight="1">
      <c r="A3" s="617" t="s">
        <v>2247</v>
      </c>
      <c r="B3" s="617" t="s">
        <v>2248</v>
      </c>
      <c r="C3" s="617" t="s">
        <v>2249</v>
      </c>
      <c r="D3" s="617"/>
      <c r="E3" s="661" t="s">
        <v>2250</v>
      </c>
      <c r="F3" s="617" t="s">
        <v>2251</v>
      </c>
      <c r="G3" s="661" t="s">
        <v>2252</v>
      </c>
      <c r="H3" s="654" t="s">
        <v>2253</v>
      </c>
      <c r="I3" s="652" t="s">
        <v>2254</v>
      </c>
      <c r="J3" s="649" t="s">
        <v>2255</v>
      </c>
      <c r="K3" s="659" t="s">
        <v>2245</v>
      </c>
      <c r="L3" s="652" t="s">
        <v>2256</v>
      </c>
      <c r="M3" s="649" t="s">
        <v>2257</v>
      </c>
      <c r="N3" s="659" t="s">
        <v>2245</v>
      </c>
      <c r="O3" s="652" t="s">
        <v>2256</v>
      </c>
      <c r="P3" s="659" t="s">
        <v>2245</v>
      </c>
      <c r="Q3" s="650" t="s">
        <v>2258</v>
      </c>
      <c r="R3" s="630" t="s">
        <v>2259</v>
      </c>
      <c r="S3" s="617" t="s">
        <v>1</v>
      </c>
      <c r="T3" s="617"/>
      <c r="U3" s="654" t="s">
        <v>2</v>
      </c>
      <c r="V3" s="654" t="s">
        <v>2260</v>
      </c>
      <c r="W3" s="617" t="s">
        <v>2261</v>
      </c>
      <c r="X3" s="617"/>
      <c r="Y3" s="655" t="s">
        <v>2262</v>
      </c>
      <c r="Z3" s="614"/>
      <c r="AA3" s="656" t="s">
        <v>2263</v>
      </c>
      <c r="AB3" s="657"/>
      <c r="AC3" s="655" t="s">
        <v>2264</v>
      </c>
      <c r="AD3" s="614"/>
      <c r="AE3" s="649" t="s">
        <v>2257</v>
      </c>
      <c r="AF3" s="650" t="s">
        <v>2265</v>
      </c>
      <c r="AG3" s="630" t="s">
        <v>2266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462" t="s">
        <v>3</v>
      </c>
      <c r="T4" s="462" t="s">
        <v>4</v>
      </c>
      <c r="U4" s="654"/>
      <c r="V4" s="654"/>
      <c r="W4" s="462" t="s">
        <v>2267</v>
      </c>
      <c r="X4" s="462" t="s">
        <v>2268</v>
      </c>
      <c r="Y4" s="460" t="s">
        <v>2269</v>
      </c>
      <c r="Z4" s="460" t="s">
        <v>2270</v>
      </c>
      <c r="AA4" s="658"/>
      <c r="AB4" s="657"/>
      <c r="AC4" s="460" t="s">
        <v>2271</v>
      </c>
      <c r="AD4" s="460" t="s">
        <v>2272</v>
      </c>
      <c r="AE4" s="649"/>
      <c r="AF4" s="650"/>
      <c r="AG4" s="630"/>
    </row>
    <row r="5" spans="1:33">
      <c r="A5" s="651" t="s">
        <v>2273</v>
      </c>
      <c r="B5" s="29" t="s">
        <v>15</v>
      </c>
      <c r="C5" s="653" t="s">
        <v>17</v>
      </c>
      <c r="D5" s="653"/>
      <c r="E5" s="29">
        <v>50.67</v>
      </c>
      <c r="F5" s="471">
        <v>1402</v>
      </c>
      <c r="G5" s="462">
        <f t="shared" ref="G5:G7" si="0">E5*F5</f>
        <v>71039.34</v>
      </c>
      <c r="H5" s="33" t="s">
        <v>57</v>
      </c>
      <c r="I5" s="468">
        <v>15</v>
      </c>
      <c r="J5" s="31">
        <v>2000</v>
      </c>
      <c r="K5" s="12">
        <f t="shared" ref="K5:K68" si="1">J5/I5</f>
        <v>133.33333333333334</v>
      </c>
      <c r="L5" s="468">
        <v>15</v>
      </c>
      <c r="M5" s="13">
        <f t="shared" ref="M5:M7" si="2">F5/V5*60</f>
        <v>1911.8181818181818</v>
      </c>
      <c r="N5" s="12">
        <f t="shared" ref="N5:N68" si="3">M5/L5</f>
        <v>127.45454545454545</v>
      </c>
      <c r="O5" s="14">
        <f t="shared" ref="O5:O68" si="4">L5-I5</f>
        <v>0</v>
      </c>
      <c r="P5" s="15">
        <f t="shared" ref="P5:P68" si="5">N5-K5</f>
        <v>-5.8787878787878896</v>
      </c>
      <c r="Q5" s="461">
        <f t="shared" ref="Q5:Q68" si="6">N5/K5</f>
        <v>0.95590909090909082</v>
      </c>
      <c r="R5" s="615">
        <f>Q8</f>
        <v>0.95864109848484924</v>
      </c>
      <c r="S5" s="34">
        <v>0.70833333333333337</v>
      </c>
      <c r="T5" s="34">
        <v>0.73888888888888893</v>
      </c>
      <c r="U5" s="462"/>
      <c r="V5" s="469">
        <f t="shared" ref="V5:V7" si="7">(T5-S5)*24*60</f>
        <v>44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64" si="8">M5-J5</f>
        <v>-88.181818181818244</v>
      </c>
      <c r="AF5" s="461">
        <f t="shared" ref="AF5:AF68" si="9">M5/J5</f>
        <v>0.95590909090909093</v>
      </c>
      <c r="AG5" s="615">
        <f>AF8</f>
        <v>0.95864109848484924</v>
      </c>
    </row>
    <row r="6" spans="1:33">
      <c r="A6" s="652" t="s">
        <v>2274</v>
      </c>
      <c r="B6" s="29" t="s">
        <v>15</v>
      </c>
      <c r="C6" s="653" t="s">
        <v>26</v>
      </c>
      <c r="D6" s="653"/>
      <c r="E6" s="29">
        <v>50.92</v>
      </c>
      <c r="F6" s="471">
        <v>2049</v>
      </c>
      <c r="G6" s="462">
        <f t="shared" si="0"/>
        <v>104335.08</v>
      </c>
      <c r="H6" s="33" t="s">
        <v>57</v>
      </c>
      <c r="I6" s="468">
        <v>15</v>
      </c>
      <c r="J6" s="31">
        <v>2000</v>
      </c>
      <c r="K6" s="12">
        <f t="shared" si="1"/>
        <v>133.33333333333334</v>
      </c>
      <c r="L6" s="468">
        <v>15</v>
      </c>
      <c r="M6" s="13">
        <f t="shared" si="2"/>
        <v>1920.937500000002</v>
      </c>
      <c r="N6" s="12">
        <f t="shared" si="3"/>
        <v>128.06250000000014</v>
      </c>
      <c r="O6" s="14">
        <f t="shared" si="4"/>
        <v>0</v>
      </c>
      <c r="P6" s="15">
        <f t="shared" si="5"/>
        <v>-5.2708333333332007</v>
      </c>
      <c r="Q6" s="461">
        <f t="shared" si="6"/>
        <v>0.96046875000000098</v>
      </c>
      <c r="R6" s="615"/>
      <c r="S6" s="34">
        <v>0.74375000000000002</v>
      </c>
      <c r="T6" s="34">
        <v>0.78819444444444442</v>
      </c>
      <c r="U6" s="462">
        <f t="shared" ref="U6:U7" si="10">IF(S6=TIME(17,0,0),"",(S6-T5)*24*60)</f>
        <v>6.9999999999999751</v>
      </c>
      <c r="V6" s="469">
        <f t="shared" si="7"/>
        <v>63.999999999999929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-79.062499999997954</v>
      </c>
      <c r="AF6" s="461">
        <f t="shared" si="9"/>
        <v>0.96046875000000098</v>
      </c>
      <c r="AG6" s="615"/>
    </row>
    <row r="7" spans="1:33">
      <c r="A7" s="652" t="s">
        <v>2274</v>
      </c>
      <c r="B7" s="29" t="s">
        <v>15</v>
      </c>
      <c r="C7" s="644" t="s">
        <v>31</v>
      </c>
      <c r="D7" s="645"/>
      <c r="E7" s="29">
        <v>50.98</v>
      </c>
      <c r="F7" s="471">
        <v>2111</v>
      </c>
      <c r="G7" s="462">
        <f t="shared" si="0"/>
        <v>107618.78</v>
      </c>
      <c r="H7" s="33" t="s">
        <v>57</v>
      </c>
      <c r="I7" s="468">
        <v>16</v>
      </c>
      <c r="J7" s="31">
        <v>2000</v>
      </c>
      <c r="K7" s="12">
        <f t="shared" si="1"/>
        <v>125</v>
      </c>
      <c r="L7" s="468">
        <v>16</v>
      </c>
      <c r="M7" s="13">
        <f t="shared" si="2"/>
        <v>1919.0909090909113</v>
      </c>
      <c r="N7" s="12">
        <f t="shared" si="3"/>
        <v>119.94318181818196</v>
      </c>
      <c r="O7" s="14">
        <f t="shared" si="4"/>
        <v>0</v>
      </c>
      <c r="P7" s="15">
        <f t="shared" si="5"/>
        <v>-5.0568181818180449</v>
      </c>
      <c r="Q7" s="461">
        <f t="shared" si="6"/>
        <v>0.95954545454545559</v>
      </c>
      <c r="R7" s="615"/>
      <c r="S7" s="34">
        <v>0.79166666666666663</v>
      </c>
      <c r="T7" s="34">
        <v>0.83749999999999991</v>
      </c>
      <c r="U7" s="462">
        <f t="shared" si="10"/>
        <v>4.9999999999999822</v>
      </c>
      <c r="V7" s="469">
        <f t="shared" si="7"/>
        <v>65.999999999999929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-80.909090909088718</v>
      </c>
      <c r="AF7" s="461">
        <f t="shared" si="9"/>
        <v>0.95954545454545559</v>
      </c>
      <c r="AG7" s="615"/>
    </row>
    <row r="8" spans="1:33">
      <c r="A8" s="652" t="s">
        <v>2274</v>
      </c>
      <c r="B8" s="29" t="s">
        <v>2275</v>
      </c>
      <c r="C8" s="618"/>
      <c r="D8" s="618"/>
      <c r="E8" s="463"/>
      <c r="F8" s="30"/>
      <c r="G8" s="12"/>
      <c r="H8" s="471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1917.2821969696986</v>
      </c>
      <c r="N8" s="12">
        <f t="shared" si="3"/>
        <v>125.04014328063251</v>
      </c>
      <c r="O8" s="14">
        <f t="shared" si="4"/>
        <v>0</v>
      </c>
      <c r="P8" s="15">
        <f t="shared" si="5"/>
        <v>-5.3946393280631497</v>
      </c>
      <c r="Q8" s="461">
        <f t="shared" si="6"/>
        <v>0.95864109848484924</v>
      </c>
      <c r="R8" s="615"/>
      <c r="S8" s="34"/>
      <c r="T8" s="34"/>
      <c r="U8" s="462"/>
      <c r="V8" s="469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-82.717803030301411</v>
      </c>
      <c r="AF8" s="461">
        <f t="shared" si="9"/>
        <v>0.95864109848484924</v>
      </c>
      <c r="AG8" s="615"/>
    </row>
    <row r="9" spans="1:33" ht="15.75" customHeight="1">
      <c r="A9" s="648" t="s">
        <v>2276</v>
      </c>
      <c r="B9" s="29" t="s">
        <v>19</v>
      </c>
      <c r="C9" s="644" t="s">
        <v>20</v>
      </c>
      <c r="D9" s="645"/>
      <c r="E9" s="29">
        <v>39.619999999999997</v>
      </c>
      <c r="F9" s="471">
        <v>3200</v>
      </c>
      <c r="G9" s="462">
        <f t="shared" ref="G9:G16" si="11">E9*F9</f>
        <v>126783.99999999999</v>
      </c>
      <c r="H9" s="33">
        <v>2</v>
      </c>
      <c r="I9" s="468">
        <v>19</v>
      </c>
      <c r="J9" s="31">
        <v>1500</v>
      </c>
      <c r="K9" s="12">
        <f t="shared" si="1"/>
        <v>78.94736842105263</v>
      </c>
      <c r="L9" s="468">
        <v>19</v>
      </c>
      <c r="M9" s="13">
        <f t="shared" ref="M9:M16" si="12">F9/V9*60</f>
        <v>1432.8358208955226</v>
      </c>
      <c r="N9" s="12">
        <f t="shared" si="3"/>
        <v>75.412411626080143</v>
      </c>
      <c r="O9" s="14">
        <f t="shared" si="4"/>
        <v>0</v>
      </c>
      <c r="P9" s="15">
        <f t="shared" si="5"/>
        <v>-3.5349567949724872</v>
      </c>
      <c r="Q9" s="461">
        <f t="shared" si="6"/>
        <v>0.95522388059701513</v>
      </c>
      <c r="R9" s="615">
        <f>Q17</f>
        <v>0.95552673662274235</v>
      </c>
      <c r="S9" s="34">
        <v>8.3333333333333329E-2</v>
      </c>
      <c r="T9" s="34">
        <v>0.17638888888888887</v>
      </c>
      <c r="U9" s="462"/>
      <c r="V9" s="469">
        <f t="shared" ref="V9:V16" si="13">(T9-S9)*24*60</f>
        <v>133.99999999999997</v>
      </c>
      <c r="W9" s="16">
        <f>T9</f>
        <v>0.17638888888888887</v>
      </c>
      <c r="X9" s="16">
        <f>S10</f>
        <v>0.19722222222222222</v>
      </c>
      <c r="Y9" s="16"/>
      <c r="Z9" s="16"/>
      <c r="AA9" s="617"/>
      <c r="AB9" s="617"/>
      <c r="AC9" s="35">
        <v>8</v>
      </c>
      <c r="AD9" s="18"/>
      <c r="AE9" s="14">
        <f t="shared" si="8"/>
        <v>-67.164179104477398</v>
      </c>
      <c r="AF9" s="461">
        <f t="shared" si="9"/>
        <v>0.95522388059701502</v>
      </c>
      <c r="AG9" s="615">
        <f>AF17</f>
        <v>0.95552673662274235</v>
      </c>
    </row>
    <row r="10" spans="1:33" ht="15.75" customHeight="1">
      <c r="A10" s="648" t="s">
        <v>2276</v>
      </c>
      <c r="B10" s="29" t="s">
        <v>19</v>
      </c>
      <c r="C10" s="644" t="s">
        <v>21</v>
      </c>
      <c r="D10" s="645"/>
      <c r="E10" s="29">
        <v>39.799999999999997</v>
      </c>
      <c r="F10" s="471">
        <v>5700</v>
      </c>
      <c r="G10" s="462">
        <f t="shared" si="11"/>
        <v>226859.99999999997</v>
      </c>
      <c r="H10" s="33">
        <v>2</v>
      </c>
      <c r="I10" s="468">
        <v>17</v>
      </c>
      <c r="J10" s="31">
        <v>1500</v>
      </c>
      <c r="K10" s="12">
        <f t="shared" si="1"/>
        <v>88.235294117647058</v>
      </c>
      <c r="L10" s="468">
        <v>17</v>
      </c>
      <c r="M10" s="13">
        <f t="shared" si="12"/>
        <v>1430.9623430962345</v>
      </c>
      <c r="N10" s="12">
        <f t="shared" si="3"/>
        <v>84.174255476249087</v>
      </c>
      <c r="O10" s="14">
        <f t="shared" si="4"/>
        <v>0</v>
      </c>
      <c r="P10" s="15">
        <f t="shared" si="5"/>
        <v>-4.0610386413979711</v>
      </c>
      <c r="Q10" s="461">
        <f t="shared" si="6"/>
        <v>0.9539748953974897</v>
      </c>
      <c r="R10" s="615"/>
      <c r="S10" s="34">
        <v>0.19722222222222222</v>
      </c>
      <c r="T10" s="34">
        <v>0.36319444444444443</v>
      </c>
      <c r="U10" s="462">
        <f t="shared" ref="U10:U16" si="14">IF(S10=TIME(17,0,0),"",(S10-T9)*24*60)</f>
        <v>30.000000000000014</v>
      </c>
      <c r="V10" s="469">
        <f t="shared" si="13"/>
        <v>239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-69.037656903765537</v>
      </c>
      <c r="AF10" s="461">
        <f t="shared" si="9"/>
        <v>0.9539748953974897</v>
      </c>
      <c r="AG10" s="615"/>
    </row>
    <row r="11" spans="1:33" ht="15.75" customHeight="1">
      <c r="A11" s="648" t="s">
        <v>2276</v>
      </c>
      <c r="B11" s="29" t="s">
        <v>19</v>
      </c>
      <c r="C11" s="644" t="s">
        <v>83</v>
      </c>
      <c r="D11" s="645"/>
      <c r="E11" s="29">
        <v>39.46</v>
      </c>
      <c r="F11" s="471">
        <v>2600</v>
      </c>
      <c r="G11" s="462">
        <f t="shared" si="11"/>
        <v>102596</v>
      </c>
      <c r="H11" s="33">
        <v>2</v>
      </c>
      <c r="I11" s="468">
        <v>15</v>
      </c>
      <c r="J11" s="31">
        <v>1500</v>
      </c>
      <c r="K11" s="12">
        <f t="shared" si="1"/>
        <v>100</v>
      </c>
      <c r="L11" s="468">
        <v>15</v>
      </c>
      <c r="M11" s="13">
        <f t="shared" si="12"/>
        <v>1431.1926605504586</v>
      </c>
      <c r="N11" s="12">
        <f t="shared" si="3"/>
        <v>95.412844036697237</v>
      </c>
      <c r="O11" s="14">
        <f t="shared" si="4"/>
        <v>0</v>
      </c>
      <c r="P11" s="15">
        <f t="shared" si="5"/>
        <v>-4.587155963302763</v>
      </c>
      <c r="Q11" s="461">
        <f t="shared" si="6"/>
        <v>0.95412844036697242</v>
      </c>
      <c r="R11" s="615"/>
      <c r="S11" s="34">
        <v>0.36736111111111108</v>
      </c>
      <c r="T11" s="34">
        <v>0.44305555555555554</v>
      </c>
      <c r="U11" s="462">
        <f t="shared" si="14"/>
        <v>5.9999999999999787</v>
      </c>
      <c r="V11" s="469">
        <f t="shared" si="13"/>
        <v>109.00000000000001</v>
      </c>
      <c r="W11" s="16">
        <f>T11</f>
        <v>0.44305555555555554</v>
      </c>
      <c r="X11" s="16">
        <f>S12</f>
        <v>0.48263888888888884</v>
      </c>
      <c r="Y11" s="16"/>
      <c r="Z11" s="16"/>
      <c r="AA11" s="617"/>
      <c r="AB11" s="617"/>
      <c r="AC11" s="35"/>
      <c r="AD11" s="18"/>
      <c r="AE11" s="14">
        <f t="shared" si="8"/>
        <v>-68.807339449541359</v>
      </c>
      <c r="AF11" s="461">
        <f t="shared" si="9"/>
        <v>0.95412844036697242</v>
      </c>
      <c r="AG11" s="615"/>
    </row>
    <row r="12" spans="1:33" ht="15.75" customHeight="1">
      <c r="A12" s="648" t="s">
        <v>2276</v>
      </c>
      <c r="B12" s="29" t="s">
        <v>19</v>
      </c>
      <c r="C12" s="644" t="s">
        <v>83</v>
      </c>
      <c r="D12" s="645"/>
      <c r="E12" s="29">
        <v>39.46</v>
      </c>
      <c r="F12" s="471">
        <v>1868</v>
      </c>
      <c r="G12" s="462">
        <f t="shared" si="11"/>
        <v>73711.28</v>
      </c>
      <c r="H12" s="33" t="s">
        <v>57</v>
      </c>
      <c r="I12" s="468">
        <v>15</v>
      </c>
      <c r="J12" s="31">
        <v>1500</v>
      </c>
      <c r="K12" s="12">
        <f t="shared" si="1"/>
        <v>100</v>
      </c>
      <c r="L12" s="468">
        <v>15</v>
      </c>
      <c r="M12" s="13">
        <f t="shared" si="12"/>
        <v>1436.923076923076</v>
      </c>
      <c r="N12" s="12">
        <f t="shared" si="3"/>
        <v>95.794871794871739</v>
      </c>
      <c r="O12" s="14">
        <f t="shared" si="4"/>
        <v>0</v>
      </c>
      <c r="P12" s="15">
        <f t="shared" si="5"/>
        <v>-4.2051282051282612</v>
      </c>
      <c r="Q12" s="461">
        <f t="shared" si="6"/>
        <v>0.95794871794871739</v>
      </c>
      <c r="R12" s="615"/>
      <c r="S12" s="34">
        <v>0.48263888888888884</v>
      </c>
      <c r="T12" s="34">
        <v>0.53680555555555554</v>
      </c>
      <c r="U12" s="462">
        <f t="shared" si="14"/>
        <v>56.999999999999957</v>
      </c>
      <c r="V12" s="469">
        <f t="shared" si="13"/>
        <v>78.000000000000043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-63.076923076924004</v>
      </c>
      <c r="AF12" s="461">
        <f t="shared" si="9"/>
        <v>0.95794871794871728</v>
      </c>
      <c r="AG12" s="615"/>
    </row>
    <row r="13" spans="1:33" ht="15.75" customHeight="1">
      <c r="A13" s="648" t="s">
        <v>2276</v>
      </c>
      <c r="B13" s="29" t="s">
        <v>19</v>
      </c>
      <c r="C13" s="644" t="s">
        <v>20</v>
      </c>
      <c r="D13" s="645"/>
      <c r="E13" s="29">
        <v>39.619999999999997</v>
      </c>
      <c r="F13" s="471">
        <v>1791</v>
      </c>
      <c r="G13" s="462">
        <f t="shared" si="11"/>
        <v>70959.42</v>
      </c>
      <c r="H13" s="33" t="s">
        <v>57</v>
      </c>
      <c r="I13" s="468">
        <v>19</v>
      </c>
      <c r="J13" s="31">
        <v>1500</v>
      </c>
      <c r="K13" s="12">
        <f t="shared" si="1"/>
        <v>78.94736842105263</v>
      </c>
      <c r="L13" s="468">
        <v>19</v>
      </c>
      <c r="M13" s="13">
        <f t="shared" si="12"/>
        <v>1432.7999999999988</v>
      </c>
      <c r="N13" s="12">
        <f t="shared" si="3"/>
        <v>75.410526315789411</v>
      </c>
      <c r="O13" s="14">
        <f t="shared" si="4"/>
        <v>0</v>
      </c>
      <c r="P13" s="15">
        <f t="shared" si="5"/>
        <v>-3.5368421052632186</v>
      </c>
      <c r="Q13" s="461">
        <f t="shared" si="6"/>
        <v>0.95519999999999927</v>
      </c>
      <c r="R13" s="615"/>
      <c r="S13" s="34">
        <v>0.54027777777777775</v>
      </c>
      <c r="T13" s="34">
        <v>0.59236111111111112</v>
      </c>
      <c r="U13" s="462">
        <f t="shared" si="14"/>
        <v>4.9999999999999822</v>
      </c>
      <c r="V13" s="469">
        <f t="shared" si="13"/>
        <v>75.000000000000057</v>
      </c>
      <c r="W13" s="16"/>
      <c r="X13" s="16"/>
      <c r="Y13" s="19"/>
      <c r="Z13" s="19"/>
      <c r="AA13" s="624"/>
      <c r="AB13" s="625"/>
      <c r="AC13" s="35"/>
      <c r="AD13" s="18"/>
      <c r="AE13" s="14">
        <f t="shared" si="8"/>
        <v>-67.200000000001182</v>
      </c>
      <c r="AF13" s="461">
        <f t="shared" si="9"/>
        <v>0.95519999999999916</v>
      </c>
      <c r="AG13" s="615"/>
    </row>
    <row r="14" spans="1:33" ht="15.75" customHeight="1">
      <c r="A14" s="648" t="s">
        <v>2276</v>
      </c>
      <c r="B14" s="29" t="s">
        <v>19</v>
      </c>
      <c r="C14" s="644" t="s">
        <v>21</v>
      </c>
      <c r="D14" s="645"/>
      <c r="E14" s="29">
        <v>39.799999999999997</v>
      </c>
      <c r="F14" s="471">
        <v>1761</v>
      </c>
      <c r="G14" s="462">
        <f t="shared" si="11"/>
        <v>70087.799999999988</v>
      </c>
      <c r="H14" s="33" t="s">
        <v>57</v>
      </c>
      <c r="I14" s="468">
        <v>17</v>
      </c>
      <c r="J14" s="31">
        <v>1500</v>
      </c>
      <c r="K14" s="12">
        <f t="shared" si="1"/>
        <v>88.235294117647058</v>
      </c>
      <c r="L14" s="468">
        <v>17</v>
      </c>
      <c r="M14" s="13">
        <f t="shared" si="12"/>
        <v>1427.8378378378368</v>
      </c>
      <c r="N14" s="12">
        <f t="shared" si="3"/>
        <v>83.990461049284519</v>
      </c>
      <c r="O14" s="14">
        <f t="shared" si="4"/>
        <v>0</v>
      </c>
      <c r="P14" s="15">
        <f t="shared" si="5"/>
        <v>-4.2448330683625386</v>
      </c>
      <c r="Q14" s="461">
        <f t="shared" si="6"/>
        <v>0.95189189189189127</v>
      </c>
      <c r="R14" s="615"/>
      <c r="S14" s="34">
        <v>0.59722222222222221</v>
      </c>
      <c r="T14" s="34">
        <v>0.64861111111111114</v>
      </c>
      <c r="U14" s="462">
        <f t="shared" si="14"/>
        <v>6.9999999999999751</v>
      </c>
      <c r="V14" s="469">
        <f t="shared" si="13"/>
        <v>74.000000000000057</v>
      </c>
      <c r="W14" s="16"/>
      <c r="X14" s="16"/>
      <c r="Y14" s="19"/>
      <c r="Z14" s="19"/>
      <c r="AA14" s="624"/>
      <c r="AB14" s="625"/>
      <c r="AC14" s="35"/>
      <c r="AD14" s="18"/>
      <c r="AE14" s="14">
        <f t="shared" si="8"/>
        <v>-72.162162162163213</v>
      </c>
      <c r="AF14" s="461">
        <f t="shared" si="9"/>
        <v>0.95189189189189116</v>
      </c>
      <c r="AG14" s="615"/>
    </row>
    <row r="15" spans="1:33" ht="15.75" customHeight="1">
      <c r="A15" s="648" t="s">
        <v>2276</v>
      </c>
      <c r="B15" s="29" t="s">
        <v>19</v>
      </c>
      <c r="C15" s="644" t="s">
        <v>267</v>
      </c>
      <c r="D15" s="645"/>
      <c r="E15" s="29">
        <v>39.520000000000003</v>
      </c>
      <c r="F15" s="471">
        <v>1487</v>
      </c>
      <c r="G15" s="462">
        <f t="shared" si="11"/>
        <v>58766.240000000005</v>
      </c>
      <c r="H15" s="33" t="s">
        <v>57</v>
      </c>
      <c r="I15" s="468">
        <v>19</v>
      </c>
      <c r="J15" s="31">
        <v>1500</v>
      </c>
      <c r="K15" s="12">
        <f t="shared" si="1"/>
        <v>78.94736842105263</v>
      </c>
      <c r="L15" s="468">
        <v>19</v>
      </c>
      <c r="M15" s="13">
        <f t="shared" si="12"/>
        <v>1439.0322580645175</v>
      </c>
      <c r="N15" s="12">
        <f t="shared" si="3"/>
        <v>75.738539898132501</v>
      </c>
      <c r="O15" s="14">
        <f t="shared" si="4"/>
        <v>0</v>
      </c>
      <c r="P15" s="15">
        <f t="shared" si="5"/>
        <v>-3.208828522920129</v>
      </c>
      <c r="Q15" s="461">
        <f t="shared" si="6"/>
        <v>0.95935483870967841</v>
      </c>
      <c r="R15" s="615"/>
      <c r="S15" s="34">
        <v>0.65277777777777779</v>
      </c>
      <c r="T15" s="34">
        <v>0.6958333333333333</v>
      </c>
      <c r="U15" s="462">
        <f t="shared" si="14"/>
        <v>5.9999999999999787</v>
      </c>
      <c r="V15" s="469">
        <f t="shared" si="13"/>
        <v>61.999999999999943</v>
      </c>
      <c r="W15" s="16"/>
      <c r="X15" s="16"/>
      <c r="Y15" s="19"/>
      <c r="Z15" s="19"/>
      <c r="AA15" s="624"/>
      <c r="AB15" s="625"/>
      <c r="AC15" s="35"/>
      <c r="AD15" s="18"/>
      <c r="AE15" s="14">
        <f t="shared" si="8"/>
        <v>-60.967741935482536</v>
      </c>
      <c r="AF15" s="461">
        <f t="shared" si="9"/>
        <v>0.9593548387096783</v>
      </c>
      <c r="AG15" s="615"/>
    </row>
    <row r="16" spans="1:33" ht="15.75" customHeight="1">
      <c r="A16" s="648" t="s">
        <v>2276</v>
      </c>
      <c r="B16" s="29" t="s">
        <v>15</v>
      </c>
      <c r="C16" s="644" t="s">
        <v>86</v>
      </c>
      <c r="D16" s="645"/>
      <c r="E16" s="29">
        <v>37.03</v>
      </c>
      <c r="F16" s="471">
        <v>1363</v>
      </c>
      <c r="G16" s="462">
        <f t="shared" si="11"/>
        <v>50471.89</v>
      </c>
      <c r="H16" s="33" t="s">
        <v>57</v>
      </c>
      <c r="I16" s="468">
        <v>13</v>
      </c>
      <c r="J16" s="31">
        <v>1500</v>
      </c>
      <c r="K16" s="12">
        <f t="shared" si="1"/>
        <v>115.38461538461539</v>
      </c>
      <c r="L16" s="468">
        <v>13</v>
      </c>
      <c r="M16" s="13">
        <f t="shared" si="12"/>
        <v>1434.7368421052643</v>
      </c>
      <c r="N16" s="12">
        <f t="shared" si="3"/>
        <v>110.36437246963571</v>
      </c>
      <c r="O16" s="14">
        <f t="shared" si="4"/>
        <v>0</v>
      </c>
      <c r="P16" s="15">
        <f t="shared" si="5"/>
        <v>-5.0202429149796757</v>
      </c>
      <c r="Q16" s="461">
        <f t="shared" si="6"/>
        <v>0.95649122807017617</v>
      </c>
      <c r="R16" s="615"/>
      <c r="S16" s="34">
        <v>0.7</v>
      </c>
      <c r="T16" s="34">
        <v>0.73958333333333326</v>
      </c>
      <c r="U16" s="462">
        <f t="shared" si="14"/>
        <v>5.9999999999999787</v>
      </c>
      <c r="V16" s="469">
        <f t="shared" si="13"/>
        <v>56.999999999999957</v>
      </c>
      <c r="W16" s="16"/>
      <c r="X16" s="16"/>
      <c r="Y16" s="19"/>
      <c r="Z16" s="19"/>
      <c r="AA16" s="624"/>
      <c r="AB16" s="625"/>
      <c r="AC16" s="35"/>
      <c r="AD16" s="18"/>
      <c r="AE16" s="14">
        <f t="shared" si="8"/>
        <v>-65.263157894735741</v>
      </c>
      <c r="AF16" s="461">
        <f t="shared" si="9"/>
        <v>0.95649122807017617</v>
      </c>
      <c r="AG16" s="615"/>
    </row>
    <row r="17" spans="1:33" ht="16.5" customHeight="1">
      <c r="A17" s="648" t="s">
        <v>2276</v>
      </c>
      <c r="B17" s="29" t="s">
        <v>2275</v>
      </c>
      <c r="C17" s="618"/>
      <c r="D17" s="618"/>
      <c r="E17" s="463"/>
      <c r="F17" s="31"/>
      <c r="G17" s="13"/>
      <c r="H17" s="471"/>
      <c r="I17" s="23">
        <v>16.75</v>
      </c>
      <c r="J17" s="31">
        <v>1500</v>
      </c>
      <c r="K17" s="12">
        <f t="shared" si="1"/>
        <v>89.552238805970148</v>
      </c>
      <c r="L17" s="23">
        <v>16.75</v>
      </c>
      <c r="M17" s="13">
        <f>AVERAGE(M9:M16)</f>
        <v>1433.2901049341135</v>
      </c>
      <c r="N17" s="12">
        <f t="shared" si="3"/>
        <v>85.569558503529166</v>
      </c>
      <c r="O17" s="14">
        <f t="shared" si="4"/>
        <v>0</v>
      </c>
      <c r="P17" s="15">
        <f t="shared" si="5"/>
        <v>-3.9826803024409827</v>
      </c>
      <c r="Q17" s="461">
        <f t="shared" si="6"/>
        <v>0.95552673662274235</v>
      </c>
      <c r="R17" s="615"/>
      <c r="S17" s="34"/>
      <c r="T17" s="34"/>
      <c r="U17" s="12"/>
      <c r="V17" s="469"/>
      <c r="W17" s="12"/>
      <c r="X17" s="12"/>
      <c r="Y17" s="24">
        <f>SUM(Y9:Y16)</f>
        <v>0</v>
      </c>
      <c r="Z17" s="24">
        <f>SUM(Z9:Z16)</f>
        <v>0</v>
      </c>
      <c r="AA17" s="614"/>
      <c r="AB17" s="614"/>
      <c r="AC17" s="24">
        <v>8</v>
      </c>
      <c r="AD17" s="24">
        <f>SUM(AD9:AD16)</f>
        <v>0</v>
      </c>
      <c r="AE17" s="14">
        <f t="shared" si="8"/>
        <v>-66.709895065886485</v>
      </c>
      <c r="AF17" s="461">
        <f t="shared" si="9"/>
        <v>0.95552673662274235</v>
      </c>
      <c r="AG17" s="615"/>
    </row>
    <row r="18" spans="1:33" ht="16.5" customHeight="1">
      <c r="A18" s="646" t="s">
        <v>2277</v>
      </c>
      <c r="B18" s="471" t="s">
        <v>22</v>
      </c>
      <c r="C18" s="640" t="s">
        <v>23</v>
      </c>
      <c r="D18" s="640"/>
      <c r="E18" s="29">
        <v>41</v>
      </c>
      <c r="F18" s="471">
        <v>2045</v>
      </c>
      <c r="G18" s="462">
        <f t="shared" ref="G18:G24" si="15">E18*F18</f>
        <v>83845</v>
      </c>
      <c r="H18" s="33" t="s">
        <v>57</v>
      </c>
      <c r="I18" s="468">
        <v>26</v>
      </c>
      <c r="J18" s="31">
        <v>1500</v>
      </c>
      <c r="K18" s="12">
        <f t="shared" si="1"/>
        <v>57.692307692307693</v>
      </c>
      <c r="L18" s="468">
        <v>26</v>
      </c>
      <c r="M18" s="13">
        <f t="shared" ref="M18:M24" si="16">F18/V18*60</f>
        <v>1426.7441860465119</v>
      </c>
      <c r="N18" s="12">
        <f t="shared" si="3"/>
        <v>54.874776386404307</v>
      </c>
      <c r="O18" s="14">
        <f t="shared" si="4"/>
        <v>0</v>
      </c>
      <c r="P18" s="15">
        <f t="shared" si="5"/>
        <v>-2.8175313059033869</v>
      </c>
      <c r="Q18" s="461">
        <f t="shared" si="6"/>
        <v>0.95116279069767462</v>
      </c>
      <c r="R18" s="615">
        <f>Q25</f>
        <v>0.95637772721437719</v>
      </c>
      <c r="S18" s="34">
        <v>8.3333333333333329E-2</v>
      </c>
      <c r="T18" s="34">
        <v>0.14305555555555555</v>
      </c>
      <c r="U18" s="462"/>
      <c r="V18" s="469">
        <f t="shared" ref="V18:V24" si="17">(T18-S18)*24*60</f>
        <v>85.999999999999986</v>
      </c>
      <c r="W18" s="16">
        <f>T18</f>
        <v>0.14305555555555555</v>
      </c>
      <c r="X18" s="16">
        <f>S19</f>
        <v>0.16249999999999998</v>
      </c>
      <c r="Y18" s="21"/>
      <c r="Z18" s="21"/>
      <c r="AA18" s="617"/>
      <c r="AB18" s="617"/>
      <c r="AC18" s="35">
        <v>7</v>
      </c>
      <c r="AD18" s="18"/>
      <c r="AE18" s="14">
        <f t="shared" si="8"/>
        <v>-73.255813953488087</v>
      </c>
      <c r="AF18" s="461">
        <f t="shared" si="9"/>
        <v>0.95116279069767462</v>
      </c>
      <c r="AG18" s="615">
        <f>AF25</f>
        <v>0.95637772721437719</v>
      </c>
    </row>
    <row r="19" spans="1:33" ht="16.5" customHeight="1">
      <c r="A19" s="647" t="s">
        <v>2277</v>
      </c>
      <c r="B19" s="471" t="s">
        <v>22</v>
      </c>
      <c r="C19" s="640" t="s">
        <v>87</v>
      </c>
      <c r="D19" s="640"/>
      <c r="E19" s="29">
        <v>38.619999999999997</v>
      </c>
      <c r="F19" s="471">
        <v>2236</v>
      </c>
      <c r="G19" s="462">
        <f t="shared" si="15"/>
        <v>86354.319999999992</v>
      </c>
      <c r="H19" s="33" t="s">
        <v>57</v>
      </c>
      <c r="I19" s="468">
        <v>24</v>
      </c>
      <c r="J19" s="31">
        <v>1500</v>
      </c>
      <c r="K19" s="12">
        <f t="shared" si="1"/>
        <v>62.5</v>
      </c>
      <c r="L19" s="468">
        <v>24</v>
      </c>
      <c r="M19" s="13">
        <f t="shared" si="16"/>
        <v>1427.2340425531916</v>
      </c>
      <c r="N19" s="12">
        <f t="shared" si="3"/>
        <v>59.468085106382979</v>
      </c>
      <c r="O19" s="14">
        <f t="shared" si="4"/>
        <v>0</v>
      </c>
      <c r="P19" s="15">
        <f t="shared" si="5"/>
        <v>-3.0319148936170208</v>
      </c>
      <c r="Q19" s="461">
        <f t="shared" si="6"/>
        <v>0.95148936170212761</v>
      </c>
      <c r="R19" s="615"/>
      <c r="S19" s="34">
        <v>0.16249999999999998</v>
      </c>
      <c r="T19" s="34">
        <v>0.22777777777777775</v>
      </c>
      <c r="U19" s="462">
        <f t="shared" ref="U19:U24" si="18">IF(S19=TIME(17,0,0),"",(S19-T18)*24*60)</f>
        <v>27.999999999999979</v>
      </c>
      <c r="V19" s="469">
        <f t="shared" si="17"/>
        <v>93.999999999999986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-72.765957446808443</v>
      </c>
      <c r="AF19" s="461">
        <f t="shared" si="9"/>
        <v>0.95148936170212772</v>
      </c>
      <c r="AG19" s="615"/>
    </row>
    <row r="20" spans="1:33" ht="16.5" customHeight="1">
      <c r="A20" s="647" t="s">
        <v>2277</v>
      </c>
      <c r="B20" s="471" t="s">
        <v>15</v>
      </c>
      <c r="C20" s="640" t="s">
        <v>86</v>
      </c>
      <c r="D20" s="640"/>
      <c r="E20" s="29">
        <v>37.03</v>
      </c>
      <c r="F20" s="471">
        <v>2000</v>
      </c>
      <c r="G20" s="462">
        <f t="shared" si="15"/>
        <v>74060</v>
      </c>
      <c r="H20" s="33">
        <v>2</v>
      </c>
      <c r="I20" s="468">
        <v>13</v>
      </c>
      <c r="J20" s="31">
        <v>1500</v>
      </c>
      <c r="K20" s="12">
        <f t="shared" si="1"/>
        <v>115.38461538461539</v>
      </c>
      <c r="L20" s="468">
        <v>13</v>
      </c>
      <c r="M20" s="13">
        <f t="shared" si="16"/>
        <v>1428.5714285714282</v>
      </c>
      <c r="N20" s="12">
        <f t="shared" si="3"/>
        <v>109.89010989010987</v>
      </c>
      <c r="O20" s="14">
        <f t="shared" si="4"/>
        <v>0</v>
      </c>
      <c r="P20" s="15">
        <f t="shared" si="5"/>
        <v>-5.4945054945055176</v>
      </c>
      <c r="Q20" s="461">
        <f t="shared" si="6"/>
        <v>0.95238095238095222</v>
      </c>
      <c r="R20" s="615"/>
      <c r="S20" s="34">
        <v>0.23124999999999996</v>
      </c>
      <c r="T20" s="34">
        <v>0.2895833333333333</v>
      </c>
      <c r="U20" s="462">
        <f t="shared" si="18"/>
        <v>4.9999999999999822</v>
      </c>
      <c r="V20" s="469">
        <f t="shared" si="17"/>
        <v>84.000000000000028</v>
      </c>
      <c r="W20" s="16"/>
      <c r="X20" s="16"/>
      <c r="Y20" s="16"/>
      <c r="Z20" s="16"/>
      <c r="AA20" s="617"/>
      <c r="AB20" s="617"/>
      <c r="AC20" s="35"/>
      <c r="AD20" s="18"/>
      <c r="AE20" s="14">
        <f t="shared" si="8"/>
        <v>-71.428571428571786</v>
      </c>
      <c r="AF20" s="461">
        <f t="shared" si="9"/>
        <v>0.95238095238095211</v>
      </c>
      <c r="AG20" s="615"/>
    </row>
    <row r="21" spans="1:33" ht="16.5" customHeight="1">
      <c r="A21" s="647" t="s">
        <v>2277</v>
      </c>
      <c r="B21" s="471" t="s">
        <v>19</v>
      </c>
      <c r="C21" s="640" t="s">
        <v>267</v>
      </c>
      <c r="D21" s="640"/>
      <c r="E21" s="29">
        <v>39.520000000000003</v>
      </c>
      <c r="F21" s="471">
        <v>2100</v>
      </c>
      <c r="G21" s="462">
        <f t="shared" si="15"/>
        <v>82992</v>
      </c>
      <c r="H21" s="33">
        <v>2</v>
      </c>
      <c r="I21" s="468">
        <v>19</v>
      </c>
      <c r="J21" s="31">
        <v>1500</v>
      </c>
      <c r="K21" s="12">
        <f t="shared" si="1"/>
        <v>78.94736842105263</v>
      </c>
      <c r="L21" s="468">
        <v>19</v>
      </c>
      <c r="M21" s="13">
        <f t="shared" si="16"/>
        <v>1431.8181818181818</v>
      </c>
      <c r="N21" s="12">
        <f t="shared" si="3"/>
        <v>75.358851674641144</v>
      </c>
      <c r="O21" s="14">
        <f t="shared" si="4"/>
        <v>0</v>
      </c>
      <c r="P21" s="15">
        <f t="shared" si="5"/>
        <v>-3.5885167464114858</v>
      </c>
      <c r="Q21" s="461">
        <f t="shared" si="6"/>
        <v>0.95454545454545447</v>
      </c>
      <c r="R21" s="615"/>
      <c r="S21" s="34">
        <v>0.29305555555555551</v>
      </c>
      <c r="T21" s="34">
        <v>0.35416666666666663</v>
      </c>
      <c r="U21" s="462">
        <f t="shared" si="18"/>
        <v>4.9999999999999822</v>
      </c>
      <c r="V21" s="469">
        <f t="shared" si="17"/>
        <v>88</v>
      </c>
      <c r="W21" s="16"/>
      <c r="X21" s="16"/>
      <c r="Y21" s="16"/>
      <c r="Z21" s="16"/>
      <c r="AA21" s="617"/>
      <c r="AB21" s="617"/>
      <c r="AC21" s="35"/>
      <c r="AD21" s="18"/>
      <c r="AE21" s="14">
        <f t="shared" si="8"/>
        <v>-68.181818181818244</v>
      </c>
      <c r="AF21" s="461">
        <f t="shared" si="9"/>
        <v>0.95454545454545447</v>
      </c>
      <c r="AG21" s="615"/>
    </row>
    <row r="22" spans="1:33" ht="16.5" customHeight="1">
      <c r="A22" s="647" t="s">
        <v>2277</v>
      </c>
      <c r="B22" s="471" t="s">
        <v>15</v>
      </c>
      <c r="C22" s="640" t="s">
        <v>25</v>
      </c>
      <c r="D22" s="640"/>
      <c r="E22" s="29">
        <v>53.68</v>
      </c>
      <c r="F22" s="471">
        <v>1017</v>
      </c>
      <c r="G22" s="462">
        <f t="shared" si="15"/>
        <v>54592.56</v>
      </c>
      <c r="H22" s="33" t="s">
        <v>57</v>
      </c>
      <c r="I22" s="468">
        <v>16</v>
      </c>
      <c r="J22" s="31">
        <v>1500</v>
      </c>
      <c r="K22" s="12">
        <f t="shared" si="1"/>
        <v>93.75</v>
      </c>
      <c r="L22" s="468">
        <v>16</v>
      </c>
      <c r="M22" s="13">
        <f t="shared" si="16"/>
        <v>1452.8571428571422</v>
      </c>
      <c r="N22" s="12">
        <f t="shared" si="3"/>
        <v>90.803571428571388</v>
      </c>
      <c r="O22" s="14">
        <f t="shared" si="4"/>
        <v>0</v>
      </c>
      <c r="P22" s="15">
        <f t="shared" si="5"/>
        <v>-2.946428571428612</v>
      </c>
      <c r="Q22" s="461">
        <f t="shared" si="6"/>
        <v>0.96857142857142808</v>
      </c>
      <c r="R22" s="615"/>
      <c r="S22" s="34">
        <v>0.70833333333333337</v>
      </c>
      <c r="T22" s="34">
        <v>0.73750000000000004</v>
      </c>
      <c r="U22" s="462" t="str">
        <f t="shared" si="18"/>
        <v/>
      </c>
      <c r="V22" s="469">
        <f t="shared" si="17"/>
        <v>42.000000000000014</v>
      </c>
      <c r="W22" s="16"/>
      <c r="X22" s="16"/>
      <c r="Y22" s="16"/>
      <c r="Z22" s="16"/>
      <c r="AA22" s="617"/>
      <c r="AB22" s="617"/>
      <c r="AC22" s="35"/>
      <c r="AD22" s="18"/>
      <c r="AE22" s="14">
        <f t="shared" si="8"/>
        <v>-47.142857142857792</v>
      </c>
      <c r="AF22" s="461">
        <f t="shared" si="9"/>
        <v>0.96857142857142808</v>
      </c>
      <c r="AG22" s="615"/>
    </row>
    <row r="23" spans="1:33" ht="16.5" customHeight="1">
      <c r="A23" s="647" t="s">
        <v>2277</v>
      </c>
      <c r="B23" s="471" t="s">
        <v>15</v>
      </c>
      <c r="C23" s="472" t="s">
        <v>18</v>
      </c>
      <c r="D23" s="473"/>
      <c r="E23" s="29">
        <v>52.86</v>
      </c>
      <c r="F23" s="471">
        <v>1244</v>
      </c>
      <c r="G23" s="462">
        <f t="shared" si="15"/>
        <v>65757.84</v>
      </c>
      <c r="H23" s="33" t="s">
        <v>57</v>
      </c>
      <c r="I23" s="468">
        <v>16</v>
      </c>
      <c r="J23" s="31">
        <v>2000</v>
      </c>
      <c r="K23" s="12">
        <f t="shared" si="1"/>
        <v>125</v>
      </c>
      <c r="L23" s="468">
        <v>16</v>
      </c>
      <c r="M23" s="13">
        <f t="shared" si="16"/>
        <v>1913.8461538461529</v>
      </c>
      <c r="N23" s="12">
        <f t="shared" si="3"/>
        <v>119.61538461538456</v>
      </c>
      <c r="O23" s="14">
        <f t="shared" si="4"/>
        <v>0</v>
      </c>
      <c r="P23" s="15">
        <f t="shared" si="5"/>
        <v>-5.3846153846154436</v>
      </c>
      <c r="Q23" s="461">
        <f t="shared" si="6"/>
        <v>0.95692307692307643</v>
      </c>
      <c r="R23" s="615"/>
      <c r="S23" s="34">
        <v>0.74305555555555558</v>
      </c>
      <c r="T23" s="34">
        <v>0.77013888888888893</v>
      </c>
      <c r="U23" s="462">
        <f t="shared" si="18"/>
        <v>7.9999999999999716</v>
      </c>
      <c r="V23" s="469">
        <f t="shared" si="17"/>
        <v>39.000000000000021</v>
      </c>
      <c r="W23" s="16"/>
      <c r="X23" s="16"/>
      <c r="Y23" s="19"/>
      <c r="Z23" s="19"/>
      <c r="AA23" s="466"/>
      <c r="AB23" s="467"/>
      <c r="AC23" s="35"/>
      <c r="AD23" s="18"/>
      <c r="AE23" s="14">
        <f t="shared" si="8"/>
        <v>-86.153846153847098</v>
      </c>
      <c r="AF23" s="461">
        <f t="shared" si="9"/>
        <v>0.95692307692307643</v>
      </c>
      <c r="AG23" s="615"/>
    </row>
    <row r="24" spans="1:33" ht="16.5" customHeight="1">
      <c r="A24" s="647" t="s">
        <v>2277</v>
      </c>
      <c r="B24" s="471" t="s">
        <v>15</v>
      </c>
      <c r="C24" s="472" t="s">
        <v>16</v>
      </c>
      <c r="D24" s="473"/>
      <c r="E24" s="29">
        <v>50.67</v>
      </c>
      <c r="F24" s="471">
        <v>1406</v>
      </c>
      <c r="G24" s="462">
        <f t="shared" si="15"/>
        <v>71242.02</v>
      </c>
      <c r="H24" s="33" t="s">
        <v>57</v>
      </c>
      <c r="I24" s="468">
        <v>17</v>
      </c>
      <c r="J24" s="31">
        <v>2000</v>
      </c>
      <c r="K24" s="12">
        <f t="shared" si="1"/>
        <v>117.64705882352941</v>
      </c>
      <c r="L24" s="468">
        <v>17</v>
      </c>
      <c r="M24" s="13">
        <f t="shared" si="16"/>
        <v>1917.2727272727273</v>
      </c>
      <c r="N24" s="12">
        <f t="shared" si="3"/>
        <v>112.7807486631016</v>
      </c>
      <c r="O24" s="14">
        <f t="shared" si="4"/>
        <v>0</v>
      </c>
      <c r="P24" s="15">
        <f t="shared" si="5"/>
        <v>-4.8663101604278012</v>
      </c>
      <c r="Q24" s="461">
        <f t="shared" si="6"/>
        <v>0.95863636363636373</v>
      </c>
      <c r="R24" s="615"/>
      <c r="S24" s="34">
        <v>0.77361111111111114</v>
      </c>
      <c r="T24" s="34">
        <v>0.8041666666666667</v>
      </c>
      <c r="U24" s="462">
        <f t="shared" si="18"/>
        <v>4.9999999999999822</v>
      </c>
      <c r="V24" s="469">
        <f t="shared" si="17"/>
        <v>44</v>
      </c>
      <c r="W24" s="16"/>
      <c r="X24" s="16"/>
      <c r="Y24" s="19"/>
      <c r="Z24" s="19"/>
      <c r="AA24" s="466"/>
      <c r="AB24" s="467"/>
      <c r="AC24" s="35"/>
      <c r="AD24" s="18"/>
      <c r="AE24" s="14">
        <f t="shared" si="8"/>
        <v>-82.727272727272748</v>
      </c>
      <c r="AF24" s="461">
        <f t="shared" si="9"/>
        <v>0.95863636363636362</v>
      </c>
      <c r="AG24" s="615"/>
    </row>
    <row r="25" spans="1:33" ht="16.5" customHeight="1">
      <c r="A25" s="647" t="s">
        <v>2277</v>
      </c>
      <c r="B25" s="29" t="s">
        <v>2275</v>
      </c>
      <c r="C25" s="618"/>
      <c r="D25" s="618"/>
      <c r="E25" s="463"/>
      <c r="F25" s="30"/>
      <c r="G25" s="12"/>
      <c r="H25" s="471"/>
      <c r="I25" s="23">
        <v>18.714285714285715</v>
      </c>
      <c r="J25" s="31">
        <v>1642.8571428571429</v>
      </c>
      <c r="K25" s="12">
        <f t="shared" si="1"/>
        <v>87.786259541984734</v>
      </c>
      <c r="L25" s="23">
        <v>18.714285714285715</v>
      </c>
      <c r="M25" s="13">
        <f>AVERAGE(M18:M24)</f>
        <v>1571.1919804236197</v>
      </c>
      <c r="N25" s="12">
        <f t="shared" si="3"/>
        <v>83.956823381414793</v>
      </c>
      <c r="O25" s="14">
        <f t="shared" si="4"/>
        <v>0</v>
      </c>
      <c r="P25" s="15">
        <f t="shared" si="5"/>
        <v>-3.8294361605699407</v>
      </c>
      <c r="Q25" s="461">
        <f t="shared" si="6"/>
        <v>0.95637772721437719</v>
      </c>
      <c r="R25" s="615"/>
      <c r="S25" s="34"/>
      <c r="T25" s="34"/>
      <c r="U25" s="462"/>
      <c r="V25" s="469"/>
      <c r="W25" s="12"/>
      <c r="X25" s="12"/>
      <c r="Y25" s="24">
        <f>SUM(Y18:Y24)</f>
        <v>0</v>
      </c>
      <c r="Z25" s="24">
        <f>SUM(Z18:Z24)</f>
        <v>0</v>
      </c>
      <c r="AA25" s="614"/>
      <c r="AB25" s="614"/>
      <c r="AC25" s="24">
        <v>7</v>
      </c>
      <c r="AD25" s="24">
        <f>SUM(AD18:AD24)</f>
        <v>0</v>
      </c>
      <c r="AE25" s="14">
        <f t="shared" si="8"/>
        <v>-71.665162433523165</v>
      </c>
      <c r="AF25" s="461">
        <f t="shared" si="9"/>
        <v>0.95637772721437719</v>
      </c>
      <c r="AG25" s="615"/>
    </row>
    <row r="26" spans="1:33" ht="15.75" customHeight="1">
      <c r="A26" s="642" t="s">
        <v>2278</v>
      </c>
      <c r="B26" s="29" t="s">
        <v>15</v>
      </c>
      <c r="C26" s="640" t="s">
        <v>28</v>
      </c>
      <c r="D26" s="640"/>
      <c r="E26" s="29">
        <v>50.67</v>
      </c>
      <c r="F26" s="471">
        <v>2045</v>
      </c>
      <c r="G26" s="462">
        <f t="shared" ref="G26:G31" si="19">E26*F26</f>
        <v>103620.15000000001</v>
      </c>
      <c r="H26" s="33" t="s">
        <v>57</v>
      </c>
      <c r="I26" s="468">
        <v>17</v>
      </c>
      <c r="J26" s="31">
        <v>2000</v>
      </c>
      <c r="K26" s="12">
        <f t="shared" si="1"/>
        <v>117.64705882352941</v>
      </c>
      <c r="L26" s="468">
        <v>17</v>
      </c>
      <c r="M26" s="13">
        <f t="shared" ref="M26:M31" si="20">F26/V26*60</f>
        <v>1917.1874999999995</v>
      </c>
      <c r="N26" s="12">
        <f t="shared" si="3"/>
        <v>112.77573529411762</v>
      </c>
      <c r="O26" s="14">
        <f t="shared" si="4"/>
        <v>0</v>
      </c>
      <c r="P26" s="15">
        <f t="shared" si="5"/>
        <v>-4.8713235294117823</v>
      </c>
      <c r="Q26" s="461">
        <f t="shared" si="6"/>
        <v>0.9585937499999998</v>
      </c>
      <c r="R26" s="615">
        <f>Q32</f>
        <v>0.95856021493327392</v>
      </c>
      <c r="S26" s="34">
        <v>0.29166666666666669</v>
      </c>
      <c r="T26" s="34">
        <v>0.33611111111111114</v>
      </c>
      <c r="U26" s="462"/>
      <c r="V26" s="469">
        <f t="shared" ref="V26:V31" si="21">(T26-S26)*24*60</f>
        <v>64.000000000000014</v>
      </c>
      <c r="W26" s="21"/>
      <c r="X26" s="21"/>
      <c r="Y26" s="21"/>
      <c r="Z26" s="21"/>
      <c r="AA26" s="617"/>
      <c r="AB26" s="617"/>
      <c r="AC26" s="35">
        <v>6</v>
      </c>
      <c r="AD26" s="18"/>
      <c r="AE26" s="14">
        <f t="shared" si="8"/>
        <v>-82.812500000000455</v>
      </c>
      <c r="AF26" s="461">
        <f t="shared" si="9"/>
        <v>0.9585937499999998</v>
      </c>
      <c r="AG26" s="615">
        <f>AF32</f>
        <v>0.95856021493327392</v>
      </c>
    </row>
    <row r="27" spans="1:33" ht="15.75" customHeight="1">
      <c r="A27" s="643" t="s">
        <v>2278</v>
      </c>
      <c r="B27" s="29" t="s">
        <v>15</v>
      </c>
      <c r="C27" s="640" t="s">
        <v>80</v>
      </c>
      <c r="D27" s="640"/>
      <c r="E27" s="29">
        <v>53.27</v>
      </c>
      <c r="F27" s="471">
        <v>1739</v>
      </c>
      <c r="G27" s="462">
        <f t="shared" si="19"/>
        <v>92636.53</v>
      </c>
      <c r="H27" s="33" t="s">
        <v>57</v>
      </c>
      <c r="I27" s="468">
        <v>16</v>
      </c>
      <c r="J27" s="31">
        <v>2000</v>
      </c>
      <c r="K27" s="12">
        <f t="shared" si="1"/>
        <v>125</v>
      </c>
      <c r="L27" s="468">
        <v>16</v>
      </c>
      <c r="M27" s="13">
        <f t="shared" si="20"/>
        <v>1932.2222222222235</v>
      </c>
      <c r="N27" s="12">
        <f t="shared" si="3"/>
        <v>120.76388888888897</v>
      </c>
      <c r="O27" s="14">
        <f t="shared" si="4"/>
        <v>0</v>
      </c>
      <c r="P27" s="15">
        <f t="shared" si="5"/>
        <v>-4.236111111111029</v>
      </c>
      <c r="Q27" s="461">
        <f t="shared" si="6"/>
        <v>0.96611111111111181</v>
      </c>
      <c r="R27" s="615"/>
      <c r="S27" s="34">
        <v>0.34097222222222223</v>
      </c>
      <c r="T27" s="34">
        <v>0.37847222222222221</v>
      </c>
      <c r="U27" s="462">
        <f t="shared" ref="U27:U31" si="22">IF(S27=TIME(17,0,0),"",(S27-T26)*24*60)</f>
        <v>6.9999999999999751</v>
      </c>
      <c r="V27" s="469">
        <f t="shared" si="21"/>
        <v>53.999999999999972</v>
      </c>
      <c r="W27" s="16"/>
      <c r="X27" s="462"/>
      <c r="Y27" s="462"/>
      <c r="Z27" s="462"/>
      <c r="AA27" s="617"/>
      <c r="AB27" s="617"/>
      <c r="AC27" s="35"/>
      <c r="AD27" s="18"/>
      <c r="AE27" s="14">
        <f t="shared" si="8"/>
        <v>-67.777777777776464</v>
      </c>
      <c r="AF27" s="461">
        <f t="shared" si="9"/>
        <v>0.96611111111111181</v>
      </c>
      <c r="AG27" s="615"/>
    </row>
    <row r="28" spans="1:33" ht="15.75" customHeight="1">
      <c r="A28" s="643" t="s">
        <v>2278</v>
      </c>
      <c r="B28" s="29" t="s">
        <v>15</v>
      </c>
      <c r="C28" s="640" t="s">
        <v>29</v>
      </c>
      <c r="D28" s="640"/>
      <c r="E28" s="29">
        <v>57.73</v>
      </c>
      <c r="F28" s="471">
        <v>2258</v>
      </c>
      <c r="G28" s="462">
        <f t="shared" si="19"/>
        <v>130354.34</v>
      </c>
      <c r="H28" s="33" t="s">
        <v>57</v>
      </c>
      <c r="I28" s="468">
        <v>14</v>
      </c>
      <c r="J28" s="31">
        <v>2000</v>
      </c>
      <c r="K28" s="12">
        <f t="shared" si="1"/>
        <v>142.85714285714286</v>
      </c>
      <c r="L28" s="468">
        <v>14</v>
      </c>
      <c r="M28" s="13">
        <f t="shared" si="20"/>
        <v>1908.1690140845074</v>
      </c>
      <c r="N28" s="12">
        <f t="shared" si="3"/>
        <v>136.29778672032197</v>
      </c>
      <c r="O28" s="14">
        <f t="shared" si="4"/>
        <v>0</v>
      </c>
      <c r="P28" s="15">
        <f t="shared" si="5"/>
        <v>-6.5593561368208952</v>
      </c>
      <c r="Q28" s="461">
        <f t="shared" si="6"/>
        <v>0.95408450704225378</v>
      </c>
      <c r="R28" s="615"/>
      <c r="S28" s="34">
        <v>0.38263888888888886</v>
      </c>
      <c r="T28" s="34">
        <v>0.43194444444444441</v>
      </c>
      <c r="U28" s="462">
        <f t="shared" si="22"/>
        <v>5.9999999999999787</v>
      </c>
      <c r="V28" s="469">
        <f t="shared" si="21"/>
        <v>70.999999999999986</v>
      </c>
      <c r="W28" s="16">
        <f>T28</f>
        <v>0.43194444444444441</v>
      </c>
      <c r="X28" s="16">
        <f>S29</f>
        <v>0.47222222222222215</v>
      </c>
      <c r="Y28" s="462"/>
      <c r="Z28" s="462"/>
      <c r="AA28" s="617"/>
      <c r="AB28" s="617"/>
      <c r="AC28" s="35"/>
      <c r="AD28" s="18"/>
      <c r="AE28" s="14">
        <f t="shared" si="8"/>
        <v>-91.830985915492647</v>
      </c>
      <c r="AF28" s="461">
        <f t="shared" si="9"/>
        <v>0.95408450704225367</v>
      </c>
      <c r="AG28" s="615"/>
    </row>
    <row r="29" spans="1:33" ht="15.75" customHeight="1">
      <c r="A29" s="643" t="s">
        <v>2278</v>
      </c>
      <c r="B29" s="29" t="s">
        <v>15</v>
      </c>
      <c r="C29" s="640" t="s">
        <v>27</v>
      </c>
      <c r="D29" s="640"/>
      <c r="E29" s="29">
        <v>59.04</v>
      </c>
      <c r="F29" s="471">
        <v>2462</v>
      </c>
      <c r="G29" s="462">
        <f t="shared" si="19"/>
        <v>145356.48000000001</v>
      </c>
      <c r="H29" s="33" t="s">
        <v>57</v>
      </c>
      <c r="I29" s="468">
        <v>19</v>
      </c>
      <c r="J29" s="31">
        <v>2000</v>
      </c>
      <c r="K29" s="12">
        <f t="shared" si="1"/>
        <v>105.26315789473684</v>
      </c>
      <c r="L29" s="468">
        <v>19</v>
      </c>
      <c r="M29" s="13">
        <f t="shared" si="20"/>
        <v>1918.441558441559</v>
      </c>
      <c r="N29" s="12">
        <f t="shared" si="3"/>
        <v>100.97060833902943</v>
      </c>
      <c r="O29" s="14">
        <f t="shared" si="4"/>
        <v>0</v>
      </c>
      <c r="P29" s="15">
        <f t="shared" si="5"/>
        <v>-4.29254955570741</v>
      </c>
      <c r="Q29" s="461">
        <f t="shared" si="6"/>
        <v>0.95922077922077964</v>
      </c>
      <c r="R29" s="615"/>
      <c r="S29" s="34">
        <v>0.47222222222222215</v>
      </c>
      <c r="T29" s="34">
        <v>0.52569444444444435</v>
      </c>
      <c r="U29" s="462">
        <f t="shared" si="22"/>
        <v>57.999999999999957</v>
      </c>
      <c r="V29" s="469">
        <f t="shared" si="21"/>
        <v>76.999999999999972</v>
      </c>
      <c r="W29" s="16"/>
      <c r="X29" s="462"/>
      <c r="Y29" s="462"/>
      <c r="Z29" s="462"/>
      <c r="AA29" s="617"/>
      <c r="AB29" s="617"/>
      <c r="AC29" s="35"/>
      <c r="AD29" s="18"/>
      <c r="AE29" s="14">
        <f t="shared" si="8"/>
        <v>-81.558441558441018</v>
      </c>
      <c r="AF29" s="461">
        <f t="shared" si="9"/>
        <v>0.95922077922077953</v>
      </c>
      <c r="AG29" s="615"/>
    </row>
    <row r="30" spans="1:33" ht="15.75" customHeight="1">
      <c r="A30" s="643" t="s">
        <v>2278</v>
      </c>
      <c r="B30" s="29" t="s">
        <v>15</v>
      </c>
      <c r="C30" s="640" t="s">
        <v>30</v>
      </c>
      <c r="D30" s="640"/>
      <c r="E30" s="29">
        <v>50.49</v>
      </c>
      <c r="F30" s="471">
        <v>1873</v>
      </c>
      <c r="G30" s="462">
        <f t="shared" si="19"/>
        <v>94567.77</v>
      </c>
      <c r="H30" s="33" t="s">
        <v>57</v>
      </c>
      <c r="I30" s="468">
        <v>15</v>
      </c>
      <c r="J30" s="31">
        <v>2000</v>
      </c>
      <c r="K30" s="12">
        <f t="shared" si="1"/>
        <v>133.33333333333334</v>
      </c>
      <c r="L30" s="468">
        <v>15</v>
      </c>
      <c r="M30" s="13">
        <f t="shared" si="20"/>
        <v>1904.7457627118661</v>
      </c>
      <c r="N30" s="12">
        <f t="shared" si="3"/>
        <v>126.98305084745773</v>
      </c>
      <c r="O30" s="14">
        <f t="shared" si="4"/>
        <v>0</v>
      </c>
      <c r="P30" s="15">
        <f t="shared" si="5"/>
        <v>-6.35028248587561</v>
      </c>
      <c r="Q30" s="461">
        <f t="shared" si="6"/>
        <v>0.9523728813559329</v>
      </c>
      <c r="R30" s="615"/>
      <c r="S30" s="34">
        <v>0.70833333333333337</v>
      </c>
      <c r="T30" s="34">
        <v>0.74930555555555556</v>
      </c>
      <c r="U30" s="462" t="str">
        <f t="shared" si="22"/>
        <v/>
      </c>
      <c r="V30" s="469">
        <f t="shared" si="21"/>
        <v>58.99999999999995</v>
      </c>
      <c r="W30" s="16"/>
      <c r="X30" s="16"/>
      <c r="Y30" s="462"/>
      <c r="Z30" s="462"/>
      <c r="AA30" s="617"/>
      <c r="AB30" s="617"/>
      <c r="AC30" s="35"/>
      <c r="AD30" s="18"/>
      <c r="AE30" s="14">
        <f t="shared" si="8"/>
        <v>-95.254237288133936</v>
      </c>
      <c r="AF30" s="461">
        <f t="shared" si="9"/>
        <v>0.95237288135593301</v>
      </c>
      <c r="AG30" s="615"/>
    </row>
    <row r="31" spans="1:33" ht="15.75" customHeight="1">
      <c r="A31" s="643" t="s">
        <v>2278</v>
      </c>
      <c r="B31" s="29" t="s">
        <v>15</v>
      </c>
      <c r="C31" s="640" t="s">
        <v>82</v>
      </c>
      <c r="D31" s="640"/>
      <c r="E31" s="29">
        <v>51.06</v>
      </c>
      <c r="F31" s="471">
        <v>2947</v>
      </c>
      <c r="G31" s="462">
        <f t="shared" si="19"/>
        <v>150473.82</v>
      </c>
      <c r="H31" s="33" t="s">
        <v>57</v>
      </c>
      <c r="I31" s="468">
        <v>13</v>
      </c>
      <c r="J31" s="31">
        <v>2000</v>
      </c>
      <c r="K31" s="12">
        <f t="shared" si="1"/>
        <v>153.84615384615384</v>
      </c>
      <c r="L31" s="468">
        <v>13</v>
      </c>
      <c r="M31" s="13">
        <f t="shared" si="20"/>
        <v>1921.9565217391303</v>
      </c>
      <c r="N31" s="12">
        <f t="shared" si="3"/>
        <v>147.84280936454849</v>
      </c>
      <c r="O31" s="14">
        <f t="shared" si="4"/>
        <v>0</v>
      </c>
      <c r="P31" s="15">
        <f t="shared" si="5"/>
        <v>-6.0033444816053532</v>
      </c>
      <c r="Q31" s="461">
        <f t="shared" si="6"/>
        <v>0.96097826086956517</v>
      </c>
      <c r="R31" s="615"/>
      <c r="S31" s="34">
        <v>0.75486111111111109</v>
      </c>
      <c r="T31" s="34">
        <v>0.81874999999999998</v>
      </c>
      <c r="U31" s="462">
        <f t="shared" si="22"/>
        <v>7.9999999999999716</v>
      </c>
      <c r="V31" s="469">
        <f t="shared" si="21"/>
        <v>92</v>
      </c>
      <c r="W31" s="16"/>
      <c r="X31" s="21"/>
      <c r="Y31" s="21"/>
      <c r="Z31" s="21"/>
      <c r="AA31" s="617"/>
      <c r="AB31" s="617"/>
      <c r="AC31" s="35"/>
      <c r="AD31" s="18"/>
      <c r="AE31" s="14">
        <f t="shared" si="8"/>
        <v>-78.043478260869733</v>
      </c>
      <c r="AF31" s="461">
        <f t="shared" si="9"/>
        <v>0.96097826086956517</v>
      </c>
      <c r="AG31" s="615"/>
    </row>
    <row r="32" spans="1:33" ht="15.75" customHeight="1">
      <c r="A32" s="643" t="s">
        <v>2278</v>
      </c>
      <c r="B32" s="29" t="s">
        <v>2275</v>
      </c>
      <c r="C32" s="618"/>
      <c r="D32" s="618"/>
      <c r="E32" s="463"/>
      <c r="F32" s="471"/>
      <c r="G32" s="462"/>
      <c r="H32" s="471"/>
      <c r="I32" s="23">
        <v>15.666666666666666</v>
      </c>
      <c r="J32" s="31">
        <v>2000</v>
      </c>
      <c r="K32" s="12">
        <f t="shared" si="1"/>
        <v>127.65957446808511</v>
      </c>
      <c r="L32" s="23">
        <v>15.666666666666666</v>
      </c>
      <c r="M32" s="13">
        <f>AVERAGE(M26:M31)</f>
        <v>1917.1204298665477</v>
      </c>
      <c r="N32" s="12">
        <f t="shared" si="3"/>
        <v>122.36938914041795</v>
      </c>
      <c r="O32" s="14">
        <f t="shared" si="4"/>
        <v>0</v>
      </c>
      <c r="P32" s="15">
        <f t="shared" si="5"/>
        <v>-5.2901853276671602</v>
      </c>
      <c r="Q32" s="461">
        <f t="shared" si="6"/>
        <v>0.95856021493327392</v>
      </c>
      <c r="R32" s="615"/>
      <c r="S32" s="34"/>
      <c r="T32" s="34"/>
      <c r="U32" s="12"/>
      <c r="V32" s="469"/>
      <c r="W32" s="12"/>
      <c r="X32" s="12"/>
      <c r="Y32" s="24">
        <f>SUM(Y26:Y31)</f>
        <v>0</v>
      </c>
      <c r="Z32" s="24">
        <f>SUM(Z26:Z31)</f>
        <v>0</v>
      </c>
      <c r="AA32" s="614"/>
      <c r="AB32" s="614"/>
      <c r="AC32" s="24">
        <v>6</v>
      </c>
      <c r="AD32" s="24">
        <f>SUM(AD26:AD31)</f>
        <v>0</v>
      </c>
      <c r="AE32" s="14">
        <f t="shared" si="8"/>
        <v>-82.879570133452262</v>
      </c>
      <c r="AF32" s="461">
        <f t="shared" si="9"/>
        <v>0.95856021493327392</v>
      </c>
      <c r="AG32" s="615"/>
    </row>
    <row r="33" spans="1:33" ht="15.75" customHeight="1">
      <c r="A33" s="641" t="s">
        <v>2279</v>
      </c>
      <c r="B33" s="29" t="s">
        <v>32</v>
      </c>
      <c r="C33" s="640" t="s">
        <v>33</v>
      </c>
      <c r="D33" s="640"/>
      <c r="E33" s="29">
        <v>31.29</v>
      </c>
      <c r="F33" s="471">
        <v>3800</v>
      </c>
      <c r="G33" s="462">
        <f t="shared" ref="G33:G40" si="23">E33*F33</f>
        <v>118902</v>
      </c>
      <c r="H33" s="33">
        <v>2</v>
      </c>
      <c r="I33" s="468">
        <v>18</v>
      </c>
      <c r="J33" s="31">
        <v>2400</v>
      </c>
      <c r="K33" s="12">
        <f t="shared" si="1"/>
        <v>133.33333333333334</v>
      </c>
      <c r="L33" s="468">
        <v>18</v>
      </c>
      <c r="M33" s="13">
        <f t="shared" ref="M33:M40" si="24">F33/V33*60</f>
        <v>2303.030303030303</v>
      </c>
      <c r="N33" s="12">
        <f t="shared" si="3"/>
        <v>127.94612794612794</v>
      </c>
      <c r="O33" s="14">
        <f t="shared" si="4"/>
        <v>0</v>
      </c>
      <c r="P33" s="15">
        <f t="shared" si="5"/>
        <v>-5.3872053872053982</v>
      </c>
      <c r="Q33" s="461">
        <f t="shared" si="6"/>
        <v>0.95959595959595956</v>
      </c>
      <c r="R33" s="615">
        <f>Q41</f>
        <v>0.95706718413416791</v>
      </c>
      <c r="S33" s="34">
        <v>8.3333333333333329E-2</v>
      </c>
      <c r="T33" s="34">
        <v>0.15208333333333332</v>
      </c>
      <c r="U33" s="462"/>
      <c r="V33" s="469">
        <f t="shared" ref="V33:V40" si="25">(T33-S33)*24*60</f>
        <v>99</v>
      </c>
      <c r="W33" s="16">
        <f>T33</f>
        <v>0.15208333333333332</v>
      </c>
      <c r="X33" s="16">
        <f>S34</f>
        <v>0.17222222222222222</v>
      </c>
      <c r="Y33" s="16"/>
      <c r="Z33" s="16"/>
      <c r="AA33" s="617"/>
      <c r="AB33" s="617"/>
      <c r="AC33" s="35">
        <v>8</v>
      </c>
      <c r="AD33" s="18"/>
      <c r="AE33" s="14">
        <f t="shared" si="8"/>
        <v>-96.969696969696997</v>
      </c>
      <c r="AF33" s="461">
        <f t="shared" si="9"/>
        <v>0.95959595959595956</v>
      </c>
      <c r="AG33" s="615">
        <f>AF41</f>
        <v>0.95706718413416814</v>
      </c>
    </row>
    <row r="34" spans="1:33" ht="15.75" customHeight="1">
      <c r="A34" s="641" t="s">
        <v>2279</v>
      </c>
      <c r="B34" s="29" t="s">
        <v>32</v>
      </c>
      <c r="C34" s="640" t="s">
        <v>34</v>
      </c>
      <c r="D34" s="640"/>
      <c r="E34" s="29">
        <v>26.37</v>
      </c>
      <c r="F34" s="471">
        <v>3700</v>
      </c>
      <c r="G34" s="462">
        <f t="shared" si="23"/>
        <v>97569</v>
      </c>
      <c r="H34" s="33">
        <v>2</v>
      </c>
      <c r="I34" s="468">
        <v>18</v>
      </c>
      <c r="J34" s="31">
        <v>2400</v>
      </c>
      <c r="K34" s="12">
        <f t="shared" si="1"/>
        <v>133.33333333333334</v>
      </c>
      <c r="L34" s="468">
        <v>18</v>
      </c>
      <c r="M34" s="13">
        <f t="shared" si="24"/>
        <v>2288.6597938144337</v>
      </c>
      <c r="N34" s="12">
        <f t="shared" si="3"/>
        <v>127.14776632302409</v>
      </c>
      <c r="O34" s="14">
        <f t="shared" si="4"/>
        <v>0</v>
      </c>
      <c r="P34" s="15">
        <f t="shared" si="5"/>
        <v>-6.1855670103092564</v>
      </c>
      <c r="Q34" s="461">
        <f t="shared" si="6"/>
        <v>0.95360824742268058</v>
      </c>
      <c r="R34" s="615"/>
      <c r="S34" s="34">
        <v>0.17222222222222222</v>
      </c>
      <c r="T34" s="34">
        <v>0.23958333333333331</v>
      </c>
      <c r="U34" s="462">
        <f t="shared" ref="U34:U40" si="26">(S34-T33)*24*60</f>
        <v>29.000000000000018</v>
      </c>
      <c r="V34" s="469">
        <f t="shared" si="25"/>
        <v>96.999999999999972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-111.34020618556633</v>
      </c>
      <c r="AF34" s="461">
        <f t="shared" si="9"/>
        <v>0.95360824742268069</v>
      </c>
      <c r="AG34" s="615"/>
    </row>
    <row r="35" spans="1:33" ht="15.75" customHeight="1">
      <c r="A35" s="641" t="s">
        <v>2279</v>
      </c>
      <c r="B35" s="29" t="s">
        <v>32</v>
      </c>
      <c r="C35" s="640" t="s">
        <v>76</v>
      </c>
      <c r="D35" s="640"/>
      <c r="E35" s="29">
        <v>26.18</v>
      </c>
      <c r="F35" s="471">
        <v>4400</v>
      </c>
      <c r="G35" s="462">
        <f t="shared" si="23"/>
        <v>115192</v>
      </c>
      <c r="H35" s="33">
        <v>2</v>
      </c>
      <c r="I35" s="468">
        <v>18</v>
      </c>
      <c r="J35" s="31">
        <v>2400</v>
      </c>
      <c r="K35" s="12">
        <f t="shared" si="1"/>
        <v>133.33333333333334</v>
      </c>
      <c r="L35" s="468">
        <v>18</v>
      </c>
      <c r="M35" s="13">
        <f t="shared" si="24"/>
        <v>2295.652173913043</v>
      </c>
      <c r="N35" s="12">
        <f t="shared" si="3"/>
        <v>127.53623188405794</v>
      </c>
      <c r="O35" s="14">
        <f t="shared" si="4"/>
        <v>0</v>
      </c>
      <c r="P35" s="15">
        <f t="shared" si="5"/>
        <v>-5.7971014492754023</v>
      </c>
      <c r="Q35" s="461">
        <f t="shared" si="6"/>
        <v>0.95652173913043448</v>
      </c>
      <c r="R35" s="615"/>
      <c r="S35" s="34">
        <v>0.24444444444444444</v>
      </c>
      <c r="T35" s="34">
        <v>0.32430555555555557</v>
      </c>
      <c r="U35" s="462">
        <f t="shared" si="26"/>
        <v>7.0000000000000151</v>
      </c>
      <c r="V35" s="469">
        <f t="shared" si="25"/>
        <v>115.00000000000003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-104.34782608695696</v>
      </c>
      <c r="AF35" s="461">
        <f t="shared" si="9"/>
        <v>0.95652173913043459</v>
      </c>
      <c r="AG35" s="615"/>
    </row>
    <row r="36" spans="1:33" ht="15.75" customHeight="1">
      <c r="A36" s="641" t="s">
        <v>2279</v>
      </c>
      <c r="B36" s="29" t="s">
        <v>32</v>
      </c>
      <c r="C36" s="640" t="s">
        <v>79</v>
      </c>
      <c r="D36" s="640"/>
      <c r="E36" s="29">
        <v>25.99</v>
      </c>
      <c r="F36" s="471">
        <v>1934</v>
      </c>
      <c r="G36" s="462">
        <f t="shared" si="23"/>
        <v>50264.659999999996</v>
      </c>
      <c r="H36" s="33" t="s">
        <v>57</v>
      </c>
      <c r="I36" s="468">
        <v>18</v>
      </c>
      <c r="J36" s="31">
        <v>2400</v>
      </c>
      <c r="K36" s="12">
        <f t="shared" si="1"/>
        <v>133.33333333333334</v>
      </c>
      <c r="L36" s="468">
        <v>18</v>
      </c>
      <c r="M36" s="13">
        <f t="shared" si="24"/>
        <v>2320.8000000000006</v>
      </c>
      <c r="N36" s="12">
        <f t="shared" si="3"/>
        <v>128.93333333333337</v>
      </c>
      <c r="O36" s="14">
        <f t="shared" si="4"/>
        <v>0</v>
      </c>
      <c r="P36" s="15">
        <f t="shared" si="5"/>
        <v>-4.3999999999999773</v>
      </c>
      <c r="Q36" s="461">
        <f t="shared" si="6"/>
        <v>0.96700000000000019</v>
      </c>
      <c r="R36" s="615"/>
      <c r="S36" s="34">
        <v>0.32847222222222222</v>
      </c>
      <c r="T36" s="34">
        <v>0.36319444444444443</v>
      </c>
      <c r="U36" s="462">
        <f t="shared" si="26"/>
        <v>5.9999999999999787</v>
      </c>
      <c r="V36" s="469">
        <f t="shared" si="25"/>
        <v>49.999999999999986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-79.199999999999363</v>
      </c>
      <c r="AF36" s="461">
        <f t="shared" si="9"/>
        <v>0.9670000000000003</v>
      </c>
      <c r="AG36" s="615"/>
    </row>
    <row r="37" spans="1:33" ht="15.75" customHeight="1">
      <c r="A37" s="641" t="s">
        <v>2279</v>
      </c>
      <c r="B37" s="29" t="s">
        <v>32</v>
      </c>
      <c r="C37" s="640" t="s">
        <v>2090</v>
      </c>
      <c r="D37" s="640"/>
      <c r="E37" s="29">
        <v>25.98</v>
      </c>
      <c r="F37" s="471">
        <v>4500</v>
      </c>
      <c r="G37" s="462">
        <f t="shared" si="23"/>
        <v>116910</v>
      </c>
      <c r="H37" s="33">
        <v>2</v>
      </c>
      <c r="I37" s="468">
        <v>20</v>
      </c>
      <c r="J37" s="31">
        <v>2400</v>
      </c>
      <c r="K37" s="12">
        <f t="shared" si="1"/>
        <v>120</v>
      </c>
      <c r="L37" s="468">
        <v>20</v>
      </c>
      <c r="M37" s="13">
        <f t="shared" si="24"/>
        <v>2288.1355932203396</v>
      </c>
      <c r="N37" s="12">
        <f t="shared" si="3"/>
        <v>114.40677966101698</v>
      </c>
      <c r="O37" s="14">
        <f t="shared" si="4"/>
        <v>0</v>
      </c>
      <c r="P37" s="15">
        <f t="shared" si="5"/>
        <v>-5.5932203389830164</v>
      </c>
      <c r="Q37" s="461">
        <f t="shared" si="6"/>
        <v>0.95338983050847481</v>
      </c>
      <c r="R37" s="615"/>
      <c r="S37" s="34">
        <v>0.36666666666666664</v>
      </c>
      <c r="T37" s="34">
        <v>0.44861111111111107</v>
      </c>
      <c r="U37" s="462">
        <f t="shared" si="26"/>
        <v>4.9999999999999822</v>
      </c>
      <c r="V37" s="469">
        <f t="shared" si="25"/>
        <v>117.99999999999999</v>
      </c>
      <c r="W37" s="16">
        <f>T37</f>
        <v>0.44861111111111107</v>
      </c>
      <c r="X37" s="16">
        <f>S38</f>
        <v>0.49097222222222214</v>
      </c>
      <c r="Y37" s="16"/>
      <c r="Z37" s="16"/>
      <c r="AA37" s="617"/>
      <c r="AB37" s="617"/>
      <c r="AC37" s="35"/>
      <c r="AD37" s="18"/>
      <c r="AE37" s="14">
        <f t="shared" si="8"/>
        <v>-111.86440677966038</v>
      </c>
      <c r="AF37" s="461">
        <f t="shared" si="9"/>
        <v>0.95338983050847481</v>
      </c>
      <c r="AG37" s="615"/>
    </row>
    <row r="38" spans="1:33" ht="15.75" customHeight="1">
      <c r="A38" s="641" t="s">
        <v>2279</v>
      </c>
      <c r="B38" s="29" t="s">
        <v>32</v>
      </c>
      <c r="C38" s="640" t="s">
        <v>33</v>
      </c>
      <c r="D38" s="640"/>
      <c r="E38" s="29">
        <v>31.29</v>
      </c>
      <c r="F38" s="471">
        <v>5232</v>
      </c>
      <c r="G38" s="462">
        <f t="shared" si="23"/>
        <v>163709.28</v>
      </c>
      <c r="H38" s="33" t="s">
        <v>57</v>
      </c>
      <c r="I38" s="468">
        <v>18</v>
      </c>
      <c r="J38" s="31">
        <v>2400</v>
      </c>
      <c r="K38" s="12">
        <f t="shared" si="1"/>
        <v>133.33333333333334</v>
      </c>
      <c r="L38" s="468">
        <v>18</v>
      </c>
      <c r="M38" s="13">
        <f t="shared" si="24"/>
        <v>2291.3868613138684</v>
      </c>
      <c r="N38" s="12">
        <f t="shared" si="3"/>
        <v>127.29927007299268</v>
      </c>
      <c r="O38" s="14">
        <f t="shared" si="4"/>
        <v>0</v>
      </c>
      <c r="P38" s="15">
        <f t="shared" si="5"/>
        <v>-6.034063260340659</v>
      </c>
      <c r="Q38" s="461">
        <f t="shared" si="6"/>
        <v>0.95474452554744504</v>
      </c>
      <c r="R38" s="615"/>
      <c r="S38" s="34">
        <v>0.49097222222222214</v>
      </c>
      <c r="T38" s="34">
        <v>0.58611111111111103</v>
      </c>
      <c r="U38" s="462">
        <f t="shared" si="26"/>
        <v>60.999999999999943</v>
      </c>
      <c r="V38" s="469">
        <f t="shared" si="25"/>
        <v>137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-108.61313868613161</v>
      </c>
      <c r="AF38" s="461">
        <f t="shared" si="9"/>
        <v>0.95474452554744516</v>
      </c>
      <c r="AG38" s="615"/>
    </row>
    <row r="39" spans="1:33" ht="15.75" customHeight="1">
      <c r="A39" s="641" t="s">
        <v>2279</v>
      </c>
      <c r="B39" s="29" t="s">
        <v>32</v>
      </c>
      <c r="C39" s="640" t="s">
        <v>76</v>
      </c>
      <c r="D39" s="640"/>
      <c r="E39" s="29">
        <v>26.18</v>
      </c>
      <c r="F39" s="471">
        <v>3209</v>
      </c>
      <c r="G39" s="462">
        <f t="shared" si="23"/>
        <v>84011.62</v>
      </c>
      <c r="H39" s="33" t="s">
        <v>57</v>
      </c>
      <c r="I39" s="468">
        <v>18</v>
      </c>
      <c r="J39" s="31">
        <v>2400</v>
      </c>
      <c r="K39" s="12">
        <f t="shared" si="1"/>
        <v>133.33333333333334</v>
      </c>
      <c r="L39" s="468">
        <v>18</v>
      </c>
      <c r="M39" s="13">
        <f t="shared" si="24"/>
        <v>2292.1428571428564</v>
      </c>
      <c r="N39" s="12">
        <f t="shared" si="3"/>
        <v>127.34126984126981</v>
      </c>
      <c r="O39" s="14">
        <f t="shared" si="4"/>
        <v>0</v>
      </c>
      <c r="P39" s="15">
        <f t="shared" si="5"/>
        <v>-5.9920634920635365</v>
      </c>
      <c r="Q39" s="461">
        <f t="shared" si="6"/>
        <v>0.95505952380952353</v>
      </c>
      <c r="R39" s="615"/>
      <c r="S39" s="34">
        <v>0.59027777777777768</v>
      </c>
      <c r="T39" s="34">
        <v>0.64861111111111103</v>
      </c>
      <c r="U39" s="462">
        <f t="shared" si="26"/>
        <v>5.9999999999999787</v>
      </c>
      <c r="V39" s="469">
        <f t="shared" si="25"/>
        <v>84.000000000000028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-107.85714285714357</v>
      </c>
      <c r="AF39" s="461">
        <f t="shared" si="9"/>
        <v>0.95505952380952353</v>
      </c>
      <c r="AG39" s="615"/>
    </row>
    <row r="40" spans="1:33" ht="15.75" customHeight="1">
      <c r="A40" s="641" t="s">
        <v>2279</v>
      </c>
      <c r="B40" s="29" t="s">
        <v>32</v>
      </c>
      <c r="C40" s="472" t="s">
        <v>34</v>
      </c>
      <c r="D40" s="473"/>
      <c r="E40" s="29">
        <v>26.37</v>
      </c>
      <c r="F40" s="471">
        <v>2602</v>
      </c>
      <c r="G40" s="462">
        <f t="shared" si="23"/>
        <v>68614.740000000005</v>
      </c>
      <c r="H40" s="33" t="s">
        <v>57</v>
      </c>
      <c r="I40" s="468">
        <v>18</v>
      </c>
      <c r="J40" s="31">
        <v>2400</v>
      </c>
      <c r="K40" s="12">
        <f t="shared" si="1"/>
        <v>133.33333333333334</v>
      </c>
      <c r="L40" s="468">
        <v>18</v>
      </c>
      <c r="M40" s="13">
        <f t="shared" si="24"/>
        <v>2295.8823529411793</v>
      </c>
      <c r="N40" s="12">
        <f t="shared" si="3"/>
        <v>127.54901960784329</v>
      </c>
      <c r="O40" s="14">
        <f t="shared" si="4"/>
        <v>0</v>
      </c>
      <c r="P40" s="15">
        <f t="shared" si="5"/>
        <v>-5.7843137254900512</v>
      </c>
      <c r="Q40" s="461">
        <f t="shared" si="6"/>
        <v>0.95661764705882457</v>
      </c>
      <c r="R40" s="615"/>
      <c r="S40" s="34">
        <v>0.65208333333333324</v>
      </c>
      <c r="T40" s="34">
        <v>0.6993055555555554</v>
      </c>
      <c r="U40" s="462">
        <f t="shared" si="26"/>
        <v>4.9999999999999822</v>
      </c>
      <c r="V40" s="469">
        <f t="shared" si="25"/>
        <v>67.999999999999915</v>
      </c>
      <c r="W40" s="16"/>
      <c r="X40" s="16"/>
      <c r="Y40" s="16"/>
      <c r="Z40" s="16"/>
      <c r="AA40" s="466"/>
      <c r="AB40" s="467"/>
      <c r="AC40" s="35"/>
      <c r="AD40" s="18"/>
      <c r="AE40" s="14">
        <f t="shared" si="8"/>
        <v>-104.11764705882069</v>
      </c>
      <c r="AF40" s="461">
        <f t="shared" si="9"/>
        <v>0.95661764705882468</v>
      </c>
      <c r="AG40" s="615"/>
    </row>
    <row r="41" spans="1:33" ht="15.75" customHeight="1">
      <c r="A41" s="641" t="s">
        <v>2279</v>
      </c>
      <c r="B41" s="29" t="s">
        <v>2275</v>
      </c>
      <c r="C41" s="618"/>
      <c r="D41" s="618"/>
      <c r="E41" s="463"/>
      <c r="F41" s="471"/>
      <c r="G41" s="462"/>
      <c r="H41" s="471"/>
      <c r="I41" s="23">
        <v>18.25</v>
      </c>
      <c r="J41" s="31">
        <v>2400</v>
      </c>
      <c r="K41" s="12">
        <f t="shared" si="1"/>
        <v>131.50684931506851</v>
      </c>
      <c r="L41" s="23">
        <v>18.25</v>
      </c>
      <c r="M41" s="13">
        <f>AVERAGE(M33:M40)</f>
        <v>2296.9612419220034</v>
      </c>
      <c r="N41" s="12">
        <f t="shared" si="3"/>
        <v>125.86088996832895</v>
      </c>
      <c r="O41" s="14">
        <f t="shared" si="4"/>
        <v>0</v>
      </c>
      <c r="P41" s="15">
        <f t="shared" si="5"/>
        <v>-5.6459593467395592</v>
      </c>
      <c r="Q41" s="461">
        <f t="shared" si="6"/>
        <v>0.95706718413416791</v>
      </c>
      <c r="R41" s="615"/>
      <c r="S41" s="34"/>
      <c r="T41" s="34"/>
      <c r="U41" s="462"/>
      <c r="V41" s="469"/>
      <c r="W41" s="462"/>
      <c r="X41" s="462"/>
      <c r="Y41" s="24">
        <f>SUM(Y33:Y40)</f>
        <v>0</v>
      </c>
      <c r="Z41" s="24">
        <f>SUM(Z33:Z40)</f>
        <v>0</v>
      </c>
      <c r="AA41" s="614"/>
      <c r="AB41" s="614"/>
      <c r="AC41" s="24">
        <v>8</v>
      </c>
      <c r="AD41" s="24">
        <f>SUM(AD33:AD40)</f>
        <v>0</v>
      </c>
      <c r="AE41" s="14">
        <f t="shared" si="8"/>
        <v>-103.03875807799659</v>
      </c>
      <c r="AF41" s="461">
        <f t="shared" si="9"/>
        <v>0.95706718413416814</v>
      </c>
      <c r="AG41" s="615"/>
    </row>
    <row r="42" spans="1:33" ht="15.75" customHeight="1">
      <c r="A42" s="638" t="s">
        <v>2280</v>
      </c>
      <c r="B42" s="29" t="s">
        <v>32</v>
      </c>
      <c r="C42" s="616" t="s">
        <v>77</v>
      </c>
      <c r="D42" s="616"/>
      <c r="E42" s="29">
        <v>26.18</v>
      </c>
      <c r="F42" s="471">
        <v>3600</v>
      </c>
      <c r="G42" s="462">
        <f t="shared" ref="G42:G50" si="27">E42*F42</f>
        <v>94248</v>
      </c>
      <c r="H42" s="33">
        <v>2</v>
      </c>
      <c r="I42" s="468">
        <v>20</v>
      </c>
      <c r="J42" s="31">
        <v>2400</v>
      </c>
      <c r="K42" s="12">
        <f t="shared" si="1"/>
        <v>120</v>
      </c>
      <c r="L42" s="468">
        <v>20</v>
      </c>
      <c r="M42" s="13">
        <f t="shared" ref="M42:M50" si="28">F42/V42*60</f>
        <v>2297.8723404255315</v>
      </c>
      <c r="N42" s="12">
        <f t="shared" si="3"/>
        <v>114.89361702127658</v>
      </c>
      <c r="O42" s="14">
        <f t="shared" si="4"/>
        <v>0</v>
      </c>
      <c r="P42" s="15">
        <f t="shared" si="5"/>
        <v>-5.106382978723417</v>
      </c>
      <c r="Q42" s="461">
        <f t="shared" si="6"/>
        <v>0.95744680851063824</v>
      </c>
      <c r="R42" s="615">
        <f>Q51</f>
        <v>0.95550531246277726</v>
      </c>
      <c r="S42" s="34">
        <v>8.3333333333333329E-2</v>
      </c>
      <c r="T42" s="34">
        <v>0.14861111111111111</v>
      </c>
      <c r="U42" s="462"/>
      <c r="V42" s="469">
        <f t="shared" ref="V42:V50" si="29">(T42-S42)*24*60</f>
        <v>94.000000000000014</v>
      </c>
      <c r="W42" s="21">
        <f>T42</f>
        <v>0.14861111111111111</v>
      </c>
      <c r="X42" s="21">
        <f>S43</f>
        <v>0.1673611111111111</v>
      </c>
      <c r="Y42" s="21"/>
      <c r="Z42" s="21"/>
      <c r="AA42" s="617"/>
      <c r="AB42" s="617"/>
      <c r="AC42" s="35">
        <v>9</v>
      </c>
      <c r="AD42" s="18"/>
      <c r="AE42" s="14">
        <f t="shared" si="8"/>
        <v>-102.12765957446845</v>
      </c>
      <c r="AF42" s="461">
        <f t="shared" si="9"/>
        <v>0.95744680851063813</v>
      </c>
      <c r="AG42" s="615">
        <f>AF51</f>
        <v>0.95550531246277715</v>
      </c>
    </row>
    <row r="43" spans="1:33" ht="15.75" customHeight="1">
      <c r="A43" s="638" t="s">
        <v>2280</v>
      </c>
      <c r="B43" s="29" t="s">
        <v>32</v>
      </c>
      <c r="C43" s="616" t="s">
        <v>37</v>
      </c>
      <c r="D43" s="616"/>
      <c r="E43" s="29">
        <v>24.43</v>
      </c>
      <c r="F43" s="471">
        <v>3500</v>
      </c>
      <c r="G43" s="462">
        <f t="shared" si="27"/>
        <v>85505</v>
      </c>
      <c r="H43" s="33">
        <v>2</v>
      </c>
      <c r="I43" s="468">
        <v>14</v>
      </c>
      <c r="J43" s="31">
        <v>2400</v>
      </c>
      <c r="K43" s="12">
        <f t="shared" si="1"/>
        <v>171.42857142857142</v>
      </c>
      <c r="L43" s="468">
        <v>14</v>
      </c>
      <c r="M43" s="13">
        <f t="shared" si="28"/>
        <v>2282.6086956521735</v>
      </c>
      <c r="N43" s="12">
        <f t="shared" si="3"/>
        <v>163.04347826086953</v>
      </c>
      <c r="O43" s="14">
        <f t="shared" si="4"/>
        <v>0</v>
      </c>
      <c r="P43" s="15">
        <f t="shared" si="5"/>
        <v>-8.3850931677018821</v>
      </c>
      <c r="Q43" s="461">
        <f t="shared" si="6"/>
        <v>0.95108695652173902</v>
      </c>
      <c r="R43" s="615"/>
      <c r="S43" s="34">
        <v>0.1673611111111111</v>
      </c>
      <c r="T43" s="34">
        <v>0.23125000000000001</v>
      </c>
      <c r="U43" s="462">
        <f t="shared" ref="U43:U50" si="30">(S43-T42)*24*60</f>
        <v>26.999999999999986</v>
      </c>
      <c r="V43" s="469">
        <f t="shared" si="29"/>
        <v>92.000000000000028</v>
      </c>
      <c r="W43" s="462"/>
      <c r="X43" s="462"/>
      <c r="Y43" s="462"/>
      <c r="Z43" s="462"/>
      <c r="AA43" s="617"/>
      <c r="AB43" s="617"/>
      <c r="AC43" s="35"/>
      <c r="AD43" s="18"/>
      <c r="AE43" s="14">
        <f t="shared" si="8"/>
        <v>-117.39130434782646</v>
      </c>
      <c r="AF43" s="461">
        <f t="shared" si="9"/>
        <v>0.95108695652173902</v>
      </c>
      <c r="AG43" s="615"/>
    </row>
    <row r="44" spans="1:33">
      <c r="A44" s="639" t="s">
        <v>2280</v>
      </c>
      <c r="B44" s="29" t="s">
        <v>32</v>
      </c>
      <c r="C44" s="616" t="s">
        <v>949</v>
      </c>
      <c r="D44" s="616"/>
      <c r="E44" s="29">
        <v>25.98</v>
      </c>
      <c r="F44" s="471">
        <v>3200</v>
      </c>
      <c r="G44" s="462">
        <f t="shared" si="27"/>
        <v>83136</v>
      </c>
      <c r="H44" s="33">
        <v>2</v>
      </c>
      <c r="I44" s="468">
        <v>17</v>
      </c>
      <c r="J44" s="31">
        <v>2400</v>
      </c>
      <c r="K44" s="12">
        <f t="shared" si="1"/>
        <v>141.1764705882353</v>
      </c>
      <c r="L44" s="468">
        <v>17</v>
      </c>
      <c r="M44" s="13">
        <f t="shared" si="28"/>
        <v>2285.7142857142862</v>
      </c>
      <c r="N44" s="12">
        <f t="shared" si="3"/>
        <v>134.45378151260508</v>
      </c>
      <c r="O44" s="14">
        <f t="shared" si="4"/>
        <v>0</v>
      </c>
      <c r="P44" s="15">
        <f t="shared" si="5"/>
        <v>-6.7226890756302282</v>
      </c>
      <c r="Q44" s="461">
        <f t="shared" si="6"/>
        <v>0.95238095238095255</v>
      </c>
      <c r="R44" s="615"/>
      <c r="S44" s="34">
        <v>0.23541666666666669</v>
      </c>
      <c r="T44" s="34">
        <v>0.29375000000000001</v>
      </c>
      <c r="U44" s="462">
        <f t="shared" si="30"/>
        <v>6.0000000000000187</v>
      </c>
      <c r="V44" s="469">
        <f t="shared" si="29"/>
        <v>83.999999999999986</v>
      </c>
      <c r="W44" s="462"/>
      <c r="X44" s="462"/>
      <c r="Y44" s="462"/>
      <c r="Z44" s="462"/>
      <c r="AA44" s="617"/>
      <c r="AB44" s="617"/>
      <c r="AC44" s="35"/>
      <c r="AD44" s="18"/>
      <c r="AE44" s="14">
        <f t="shared" si="8"/>
        <v>-114.28571428571377</v>
      </c>
      <c r="AF44" s="461">
        <f t="shared" si="9"/>
        <v>0.95238095238095255</v>
      </c>
      <c r="AG44" s="615"/>
    </row>
    <row r="45" spans="1:33">
      <c r="A45" s="639" t="s">
        <v>2280</v>
      </c>
      <c r="B45" s="29" t="s">
        <v>32</v>
      </c>
      <c r="C45" s="616" t="s">
        <v>35</v>
      </c>
      <c r="D45" s="616"/>
      <c r="E45" s="29">
        <v>25.99</v>
      </c>
      <c r="F45" s="471">
        <v>4183</v>
      </c>
      <c r="G45" s="462">
        <f t="shared" si="27"/>
        <v>108716.17</v>
      </c>
      <c r="H45" s="33" t="s">
        <v>57</v>
      </c>
      <c r="I45" s="468">
        <v>14</v>
      </c>
      <c r="J45" s="31">
        <v>2400</v>
      </c>
      <c r="K45" s="12">
        <f t="shared" si="1"/>
        <v>171.42857142857142</v>
      </c>
      <c r="L45" s="468">
        <v>14</v>
      </c>
      <c r="M45" s="13">
        <f t="shared" si="28"/>
        <v>2302.5688073394494</v>
      </c>
      <c r="N45" s="12">
        <f t="shared" si="3"/>
        <v>164.46920052424639</v>
      </c>
      <c r="O45" s="14">
        <f t="shared" si="4"/>
        <v>0</v>
      </c>
      <c r="P45" s="15">
        <f t="shared" si="5"/>
        <v>-6.9593709043250271</v>
      </c>
      <c r="Q45" s="461">
        <f t="shared" si="6"/>
        <v>0.95940366972477065</v>
      </c>
      <c r="R45" s="615"/>
      <c r="S45" s="34">
        <v>0.29930555555555555</v>
      </c>
      <c r="T45" s="34">
        <v>0.375</v>
      </c>
      <c r="U45" s="462">
        <f t="shared" si="30"/>
        <v>7.9999999999999716</v>
      </c>
      <c r="V45" s="469">
        <f t="shared" si="29"/>
        <v>109.00000000000001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-97.43119266055055</v>
      </c>
      <c r="AF45" s="461">
        <f t="shared" si="9"/>
        <v>0.95940366972477065</v>
      </c>
      <c r="AG45" s="615"/>
    </row>
    <row r="46" spans="1:33">
      <c r="A46" s="639" t="s">
        <v>2280</v>
      </c>
      <c r="B46" s="29" t="s">
        <v>32</v>
      </c>
      <c r="C46" s="616" t="s">
        <v>84</v>
      </c>
      <c r="D46" s="616"/>
      <c r="E46" s="29">
        <v>20.21</v>
      </c>
      <c r="F46" s="471">
        <v>3506</v>
      </c>
      <c r="G46" s="462">
        <f t="shared" si="27"/>
        <v>70856.260000000009</v>
      </c>
      <c r="H46" s="33" t="s">
        <v>57</v>
      </c>
      <c r="I46" s="468">
        <v>18</v>
      </c>
      <c r="J46" s="31">
        <v>2400</v>
      </c>
      <c r="K46" s="12">
        <f t="shared" si="1"/>
        <v>133.33333333333334</v>
      </c>
      <c r="L46" s="468">
        <v>18</v>
      </c>
      <c r="M46" s="13">
        <f t="shared" si="28"/>
        <v>2286.521739130435</v>
      </c>
      <c r="N46" s="12">
        <f t="shared" si="3"/>
        <v>127.02898550724639</v>
      </c>
      <c r="O46" s="14">
        <f t="shared" si="4"/>
        <v>0</v>
      </c>
      <c r="P46" s="15">
        <f t="shared" si="5"/>
        <v>-6.3043478260869534</v>
      </c>
      <c r="Q46" s="461">
        <f t="shared" si="6"/>
        <v>0.95271739130434785</v>
      </c>
      <c r="R46" s="615"/>
      <c r="S46" s="34">
        <v>0.38055555555555554</v>
      </c>
      <c r="T46" s="34">
        <v>0.44444444444444442</v>
      </c>
      <c r="U46" s="462">
        <f t="shared" si="30"/>
        <v>7.9999999999999716</v>
      </c>
      <c r="V46" s="469">
        <f t="shared" si="29"/>
        <v>92</v>
      </c>
      <c r="W46" s="16">
        <f>T46</f>
        <v>0.44444444444444442</v>
      </c>
      <c r="X46" s="16">
        <f>S47</f>
        <v>0.48611111111111105</v>
      </c>
      <c r="Y46" s="16"/>
      <c r="Z46" s="16"/>
      <c r="AA46" s="617"/>
      <c r="AB46" s="617"/>
      <c r="AC46" s="35"/>
      <c r="AD46" s="18"/>
      <c r="AE46" s="14">
        <f t="shared" si="8"/>
        <v>-113.47826086956502</v>
      </c>
      <c r="AF46" s="461">
        <f t="shared" si="9"/>
        <v>0.95271739130434796</v>
      </c>
      <c r="AG46" s="615"/>
    </row>
    <row r="47" spans="1:33">
      <c r="A47" s="639" t="s">
        <v>2280</v>
      </c>
      <c r="B47" s="29" t="s">
        <v>32</v>
      </c>
      <c r="C47" s="616" t="s">
        <v>37</v>
      </c>
      <c r="D47" s="616"/>
      <c r="E47" s="29">
        <v>24.43</v>
      </c>
      <c r="F47" s="471">
        <v>3125</v>
      </c>
      <c r="G47" s="462">
        <f t="shared" si="27"/>
        <v>76343.75</v>
      </c>
      <c r="H47" s="33" t="s">
        <v>57</v>
      </c>
      <c r="I47" s="468">
        <v>14</v>
      </c>
      <c r="J47" s="31">
        <v>2400</v>
      </c>
      <c r="K47" s="12">
        <f t="shared" si="1"/>
        <v>171.42857142857142</v>
      </c>
      <c r="L47" s="468">
        <v>14</v>
      </c>
      <c r="M47" s="13">
        <f t="shared" si="28"/>
        <v>2286.5853658536575</v>
      </c>
      <c r="N47" s="12">
        <f t="shared" si="3"/>
        <v>163.3275261324041</v>
      </c>
      <c r="O47" s="14">
        <f t="shared" si="4"/>
        <v>0</v>
      </c>
      <c r="P47" s="15">
        <f t="shared" si="5"/>
        <v>-8.1010452961673138</v>
      </c>
      <c r="Q47" s="461">
        <f t="shared" si="6"/>
        <v>0.95274390243902396</v>
      </c>
      <c r="R47" s="615"/>
      <c r="S47" s="34">
        <v>0.48611111111111105</v>
      </c>
      <c r="T47" s="34">
        <v>0.54305555555555551</v>
      </c>
      <c r="U47" s="462">
        <f t="shared" si="30"/>
        <v>59.999999999999943</v>
      </c>
      <c r="V47" s="469">
        <f t="shared" si="29"/>
        <v>82.000000000000028</v>
      </c>
      <c r="W47" s="16"/>
      <c r="X47" s="16"/>
      <c r="Y47" s="16"/>
      <c r="Z47" s="16"/>
      <c r="AA47" s="617"/>
      <c r="AB47" s="617"/>
      <c r="AC47" s="35"/>
      <c r="AD47" s="18"/>
      <c r="AE47" s="14">
        <f t="shared" si="8"/>
        <v>-113.41463414634245</v>
      </c>
      <c r="AF47" s="461">
        <f t="shared" si="9"/>
        <v>0.95274390243902396</v>
      </c>
      <c r="AG47" s="615"/>
    </row>
    <row r="48" spans="1:33">
      <c r="A48" s="639" t="s">
        <v>2280</v>
      </c>
      <c r="B48" s="29" t="s">
        <v>32</v>
      </c>
      <c r="C48" s="616" t="s">
        <v>2090</v>
      </c>
      <c r="D48" s="616"/>
      <c r="E48" s="29">
        <v>25.98</v>
      </c>
      <c r="F48" s="471">
        <v>3290</v>
      </c>
      <c r="G48" s="462">
        <f t="shared" si="27"/>
        <v>85474.2</v>
      </c>
      <c r="H48" s="33" t="s">
        <v>57</v>
      </c>
      <c r="I48" s="468">
        <v>20</v>
      </c>
      <c r="J48" s="31">
        <v>2400</v>
      </c>
      <c r="K48" s="12">
        <f t="shared" si="1"/>
        <v>120</v>
      </c>
      <c r="L48" s="468">
        <v>20</v>
      </c>
      <c r="M48" s="13">
        <f t="shared" si="28"/>
        <v>2295.348837209302</v>
      </c>
      <c r="N48" s="12">
        <f t="shared" si="3"/>
        <v>114.7674418604651</v>
      </c>
      <c r="O48" s="14">
        <f t="shared" si="4"/>
        <v>0</v>
      </c>
      <c r="P48" s="15">
        <f t="shared" si="5"/>
        <v>-5.2325581395349019</v>
      </c>
      <c r="Q48" s="461">
        <f t="shared" si="6"/>
        <v>0.95639534883720911</v>
      </c>
      <c r="R48" s="615"/>
      <c r="S48" s="34">
        <v>0.54652777777777772</v>
      </c>
      <c r="T48" s="34">
        <v>0.60624999999999996</v>
      </c>
      <c r="U48" s="462">
        <f t="shared" si="30"/>
        <v>4.9999999999999822</v>
      </c>
      <c r="V48" s="469">
        <f t="shared" si="29"/>
        <v>86.000000000000014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-104.65116279069798</v>
      </c>
      <c r="AF48" s="461">
        <f t="shared" si="9"/>
        <v>0.95639534883720922</v>
      </c>
      <c r="AG48" s="615"/>
    </row>
    <row r="49" spans="1:33">
      <c r="A49" s="639" t="s">
        <v>2280</v>
      </c>
      <c r="B49" s="29" t="s">
        <v>32</v>
      </c>
      <c r="C49" s="616" t="s">
        <v>949</v>
      </c>
      <c r="D49" s="616"/>
      <c r="E49" s="29">
        <v>25.98</v>
      </c>
      <c r="F49" s="471">
        <v>2435</v>
      </c>
      <c r="G49" s="462">
        <f t="shared" si="27"/>
        <v>63261.3</v>
      </c>
      <c r="H49" s="33" t="s">
        <v>57</v>
      </c>
      <c r="I49" s="468">
        <v>17</v>
      </c>
      <c r="J49" s="31">
        <v>2400</v>
      </c>
      <c r="K49" s="12">
        <f t="shared" si="1"/>
        <v>141.1764705882353</v>
      </c>
      <c r="L49" s="468">
        <v>17</v>
      </c>
      <c r="M49" s="13">
        <f t="shared" si="28"/>
        <v>2319.0476190476211</v>
      </c>
      <c r="N49" s="12">
        <f t="shared" si="3"/>
        <v>136.41456582633066</v>
      </c>
      <c r="O49" s="14">
        <f t="shared" si="4"/>
        <v>0</v>
      </c>
      <c r="P49" s="15">
        <f t="shared" si="5"/>
        <v>-4.7619047619046455</v>
      </c>
      <c r="Q49" s="461">
        <f t="shared" si="6"/>
        <v>0.96626984126984206</v>
      </c>
      <c r="R49" s="615"/>
      <c r="S49" s="34">
        <v>0.60972222222222217</v>
      </c>
      <c r="T49" s="34">
        <v>0.65347222222222212</v>
      </c>
      <c r="U49" s="462">
        <f t="shared" si="30"/>
        <v>4.9999999999999822</v>
      </c>
      <c r="V49" s="469">
        <f t="shared" si="29"/>
        <v>62.999999999999936</v>
      </c>
      <c r="W49" s="16"/>
      <c r="X49" s="16"/>
      <c r="Y49" s="19"/>
      <c r="Z49" s="19"/>
      <c r="AA49" s="624"/>
      <c r="AB49" s="625"/>
      <c r="AC49" s="35"/>
      <c r="AD49" s="18"/>
      <c r="AE49" s="14">
        <f t="shared" si="8"/>
        <v>-80.952380952378917</v>
      </c>
      <c r="AF49" s="461">
        <f t="shared" si="9"/>
        <v>0.96626984126984217</v>
      </c>
      <c r="AG49" s="615"/>
    </row>
    <row r="50" spans="1:33">
      <c r="A50" s="639" t="s">
        <v>2280</v>
      </c>
      <c r="B50" s="29" t="s">
        <v>32</v>
      </c>
      <c r="C50" s="622" t="s">
        <v>77</v>
      </c>
      <c r="D50" s="623"/>
      <c r="E50" s="29">
        <v>26.18</v>
      </c>
      <c r="F50" s="471">
        <v>2587</v>
      </c>
      <c r="G50" s="462">
        <f t="shared" si="27"/>
        <v>67727.66</v>
      </c>
      <c r="H50" s="33" t="s">
        <v>57</v>
      </c>
      <c r="I50" s="468">
        <v>20</v>
      </c>
      <c r="J50" s="31">
        <v>2400</v>
      </c>
      <c r="K50" s="12">
        <f t="shared" si="1"/>
        <v>120</v>
      </c>
      <c r="L50" s="468">
        <v>20</v>
      </c>
      <c r="M50" s="13">
        <f t="shared" si="28"/>
        <v>2282.6470588235265</v>
      </c>
      <c r="N50" s="12">
        <f t="shared" si="3"/>
        <v>114.13235294117632</v>
      </c>
      <c r="O50" s="14">
        <f t="shared" si="4"/>
        <v>0</v>
      </c>
      <c r="P50" s="15">
        <f t="shared" si="5"/>
        <v>-5.8676470588236782</v>
      </c>
      <c r="Q50" s="461">
        <f t="shared" si="6"/>
        <v>0.95110294117646932</v>
      </c>
      <c r="R50" s="615"/>
      <c r="S50" s="34">
        <v>0.65694444444444433</v>
      </c>
      <c r="T50" s="34">
        <v>0.70416666666666661</v>
      </c>
      <c r="U50" s="462">
        <f t="shared" si="30"/>
        <v>4.9999999999999822</v>
      </c>
      <c r="V50" s="469">
        <f t="shared" si="29"/>
        <v>68.000000000000085</v>
      </c>
      <c r="W50" s="16"/>
      <c r="X50" s="16"/>
      <c r="Y50" s="19"/>
      <c r="Z50" s="19"/>
      <c r="AA50" s="466"/>
      <c r="AB50" s="467"/>
      <c r="AC50" s="35"/>
      <c r="AD50" s="18"/>
      <c r="AE50" s="14">
        <f t="shared" si="8"/>
        <v>-117.35294117647345</v>
      </c>
      <c r="AF50" s="461">
        <f t="shared" si="9"/>
        <v>0.95110294117646943</v>
      </c>
      <c r="AG50" s="615"/>
    </row>
    <row r="51" spans="1:33">
      <c r="A51" s="639" t="s">
        <v>2280</v>
      </c>
      <c r="B51" s="30" t="s">
        <v>2275</v>
      </c>
      <c r="C51" s="618"/>
      <c r="D51" s="618"/>
      <c r="E51" s="463"/>
      <c r="F51" s="30"/>
      <c r="G51" s="12"/>
      <c r="H51" s="471"/>
      <c r="I51" s="23">
        <v>17.111111111111111</v>
      </c>
      <c r="J51" s="31">
        <v>2400</v>
      </c>
      <c r="K51" s="12">
        <f t="shared" si="1"/>
        <v>140.25974025974025</v>
      </c>
      <c r="L51" s="23">
        <v>17.111111111111111</v>
      </c>
      <c r="M51" s="13">
        <f>AVERAGE(M42:M50)</f>
        <v>2293.212749910665</v>
      </c>
      <c r="N51" s="12">
        <f t="shared" si="3"/>
        <v>134.01892694283109</v>
      </c>
      <c r="O51" s="14">
        <f t="shared" si="4"/>
        <v>0</v>
      </c>
      <c r="P51" s="15">
        <f t="shared" si="5"/>
        <v>-6.2408133169091684</v>
      </c>
      <c r="Q51" s="461">
        <f t="shared" si="6"/>
        <v>0.95550531246277726</v>
      </c>
      <c r="R51" s="615"/>
      <c r="S51" s="34"/>
      <c r="T51" s="34"/>
      <c r="U51" s="12"/>
      <c r="V51" s="469"/>
      <c r="W51" s="12"/>
      <c r="X51" s="12"/>
      <c r="Y51" s="24">
        <f>SUM(Y42:Y50)</f>
        <v>0</v>
      </c>
      <c r="Z51" s="24">
        <f>SUM(Z42:Z50)</f>
        <v>0</v>
      </c>
      <c r="AA51" s="614"/>
      <c r="AB51" s="614"/>
      <c r="AC51" s="24">
        <v>9</v>
      </c>
      <c r="AD51" s="24">
        <f>SUM(AD42:AD50)</f>
        <v>0</v>
      </c>
      <c r="AE51" s="14">
        <f t="shared" si="8"/>
        <v>-106.78725008933498</v>
      </c>
      <c r="AF51" s="461">
        <f t="shared" si="9"/>
        <v>0.95550531246277715</v>
      </c>
      <c r="AG51" s="615"/>
    </row>
    <row r="52" spans="1:33" ht="15.75" customHeight="1">
      <c r="A52" s="632" t="s">
        <v>2281</v>
      </c>
      <c r="B52" s="29" t="s">
        <v>40</v>
      </c>
      <c r="C52" s="622" t="s">
        <v>41</v>
      </c>
      <c r="D52" s="623"/>
      <c r="E52" s="29">
        <v>37.880000000000003</v>
      </c>
      <c r="F52" s="471">
        <v>598</v>
      </c>
      <c r="G52" s="462">
        <f t="shared" ref="G52:G56" si="31">E52*F52</f>
        <v>22652.240000000002</v>
      </c>
      <c r="H52" s="33" t="s">
        <v>57</v>
      </c>
      <c r="I52" s="468">
        <v>13</v>
      </c>
      <c r="J52" s="31">
        <v>2000</v>
      </c>
      <c r="K52" s="12">
        <f t="shared" si="1"/>
        <v>153.84615384615384</v>
      </c>
      <c r="L52" s="468">
        <v>13</v>
      </c>
      <c r="M52" s="13">
        <f t="shared" ref="M52:M56" si="32">F52/V52*60</f>
        <v>1993.3333333333317</v>
      </c>
      <c r="N52" s="13">
        <f t="shared" si="3"/>
        <v>153.3333333333332</v>
      </c>
      <c r="O52" s="14">
        <f t="shared" si="4"/>
        <v>0</v>
      </c>
      <c r="P52" s="15">
        <f t="shared" si="5"/>
        <v>-0.5128205128206389</v>
      </c>
      <c r="Q52" s="461">
        <f t="shared" si="6"/>
        <v>0.99666666666666581</v>
      </c>
      <c r="R52" s="635">
        <f>Q57</f>
        <v>0.95959633447644144</v>
      </c>
      <c r="S52" s="34">
        <v>0.16666666666666666</v>
      </c>
      <c r="T52" s="34">
        <v>0.17916666666666667</v>
      </c>
      <c r="U52" s="21"/>
      <c r="V52" s="469">
        <f t="shared" ref="V52:V56" si="33">(T52-S52)*24*60</f>
        <v>18.000000000000014</v>
      </c>
      <c r="W52" s="16">
        <f>T52</f>
        <v>0.17916666666666667</v>
      </c>
      <c r="X52" s="16">
        <f>S53</f>
        <v>0.19652777777777775</v>
      </c>
      <c r="Y52" s="19"/>
      <c r="Z52" s="19"/>
      <c r="AA52" s="624"/>
      <c r="AB52" s="625"/>
      <c r="AC52" s="35">
        <v>5</v>
      </c>
      <c r="AD52" s="18"/>
      <c r="AE52" s="14">
        <f t="shared" si="8"/>
        <v>-6.6666666666683341</v>
      </c>
      <c r="AF52" s="461">
        <f t="shared" si="9"/>
        <v>0.99666666666666581</v>
      </c>
      <c r="AG52" s="635">
        <f>AF57</f>
        <v>0.95959633447644133</v>
      </c>
    </row>
    <row r="53" spans="1:33" ht="15.75" customHeight="1">
      <c r="A53" s="633" t="s">
        <v>2281</v>
      </c>
      <c r="B53" s="29" t="s">
        <v>40</v>
      </c>
      <c r="C53" s="622" t="s">
        <v>42</v>
      </c>
      <c r="D53" s="623"/>
      <c r="E53" s="29">
        <v>35.119999999999997</v>
      </c>
      <c r="F53" s="471">
        <v>5379</v>
      </c>
      <c r="G53" s="462">
        <f t="shared" si="31"/>
        <v>188910.47999999998</v>
      </c>
      <c r="H53" s="33" t="s">
        <v>57</v>
      </c>
      <c r="I53" s="468">
        <v>10</v>
      </c>
      <c r="J53" s="31">
        <v>3000</v>
      </c>
      <c r="K53" s="12">
        <f t="shared" si="1"/>
        <v>300</v>
      </c>
      <c r="L53" s="468">
        <v>10</v>
      </c>
      <c r="M53" s="13">
        <f t="shared" si="32"/>
        <v>2856.1061946902655</v>
      </c>
      <c r="N53" s="13">
        <f t="shared" si="3"/>
        <v>285.61061946902657</v>
      </c>
      <c r="O53" s="14">
        <f t="shared" si="4"/>
        <v>0</v>
      </c>
      <c r="P53" s="15">
        <f t="shared" si="5"/>
        <v>-14.389380530973426</v>
      </c>
      <c r="Q53" s="461">
        <f t="shared" si="6"/>
        <v>0.95203539823008854</v>
      </c>
      <c r="R53" s="636"/>
      <c r="S53" s="34">
        <v>0.19652777777777775</v>
      </c>
      <c r="T53" s="34">
        <v>0.27499999999999997</v>
      </c>
      <c r="U53" s="462">
        <f t="shared" ref="U53:U56" si="34">(S53-T52)*24*60</f>
        <v>24.99999999999995</v>
      </c>
      <c r="V53" s="469">
        <f t="shared" si="33"/>
        <v>113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-143.89380530973449</v>
      </c>
      <c r="AF53" s="461">
        <f t="shared" si="9"/>
        <v>0.95203539823008854</v>
      </c>
      <c r="AG53" s="636"/>
    </row>
    <row r="54" spans="1:33" ht="15.75" customHeight="1">
      <c r="A54" s="633" t="s">
        <v>2281</v>
      </c>
      <c r="B54" s="29" t="s">
        <v>40</v>
      </c>
      <c r="C54" s="622" t="s">
        <v>43</v>
      </c>
      <c r="D54" s="623"/>
      <c r="E54" s="29">
        <v>21.13</v>
      </c>
      <c r="F54" s="471">
        <v>5197</v>
      </c>
      <c r="G54" s="462">
        <f t="shared" si="31"/>
        <v>109812.61</v>
      </c>
      <c r="H54" s="33" t="s">
        <v>57</v>
      </c>
      <c r="I54" s="468">
        <v>10</v>
      </c>
      <c r="J54" s="31">
        <v>3000</v>
      </c>
      <c r="K54" s="12">
        <f t="shared" si="1"/>
        <v>300</v>
      </c>
      <c r="L54" s="468">
        <v>10</v>
      </c>
      <c r="M54" s="13">
        <f t="shared" si="32"/>
        <v>2860.7339449541282</v>
      </c>
      <c r="N54" s="13">
        <f t="shared" si="3"/>
        <v>286.0733944954128</v>
      </c>
      <c r="O54" s="14">
        <f t="shared" si="4"/>
        <v>0</v>
      </c>
      <c r="P54" s="15">
        <f t="shared" si="5"/>
        <v>-13.926605504587201</v>
      </c>
      <c r="Q54" s="461">
        <f t="shared" si="6"/>
        <v>0.95357798165137597</v>
      </c>
      <c r="R54" s="636"/>
      <c r="S54" s="34">
        <v>0.27847222222222218</v>
      </c>
      <c r="T54" s="34">
        <v>0.35416666666666663</v>
      </c>
      <c r="U54" s="462">
        <f t="shared" si="34"/>
        <v>4.9999999999999822</v>
      </c>
      <c r="V54" s="469">
        <f t="shared" si="33"/>
        <v>109.00000000000001</v>
      </c>
      <c r="W54" s="16"/>
      <c r="X54" s="16"/>
      <c r="Y54" s="19"/>
      <c r="Z54" s="19"/>
      <c r="AA54" s="624"/>
      <c r="AB54" s="625"/>
      <c r="AC54" s="35"/>
      <c r="AD54" s="18"/>
      <c r="AE54" s="14">
        <f t="shared" si="8"/>
        <v>-139.26605504587178</v>
      </c>
      <c r="AF54" s="461">
        <f t="shared" si="9"/>
        <v>0.95357798165137608</v>
      </c>
      <c r="AG54" s="636"/>
    </row>
    <row r="55" spans="1:33" ht="15.75" customHeight="1">
      <c r="A55" s="633" t="s">
        <v>2281</v>
      </c>
      <c r="B55" s="29" t="s">
        <v>40</v>
      </c>
      <c r="C55" s="622" t="s">
        <v>44</v>
      </c>
      <c r="D55" s="623"/>
      <c r="E55" s="29">
        <v>27.17</v>
      </c>
      <c r="F55" s="471">
        <v>5300</v>
      </c>
      <c r="G55" s="462">
        <f t="shared" si="31"/>
        <v>144001</v>
      </c>
      <c r="H55" s="33">
        <v>2</v>
      </c>
      <c r="I55" s="468">
        <v>10</v>
      </c>
      <c r="J55" s="31">
        <v>3000</v>
      </c>
      <c r="K55" s="12">
        <f t="shared" si="1"/>
        <v>300</v>
      </c>
      <c r="L55" s="468">
        <v>10</v>
      </c>
      <c r="M55" s="13">
        <f t="shared" si="32"/>
        <v>2864.8648648648646</v>
      </c>
      <c r="N55" s="13">
        <f t="shared" si="3"/>
        <v>286.48648648648646</v>
      </c>
      <c r="O55" s="14">
        <f t="shared" si="4"/>
        <v>0</v>
      </c>
      <c r="P55" s="15">
        <f t="shared" si="5"/>
        <v>-13.513513513513544</v>
      </c>
      <c r="Q55" s="461">
        <f t="shared" si="6"/>
        <v>0.95495495495495486</v>
      </c>
      <c r="R55" s="636"/>
      <c r="S55" s="34">
        <v>0.35972222222222217</v>
      </c>
      <c r="T55" s="34">
        <v>0.4368055555555555</v>
      </c>
      <c r="U55" s="462">
        <f t="shared" si="34"/>
        <v>7.9999999999999716</v>
      </c>
      <c r="V55" s="469">
        <f t="shared" si="33"/>
        <v>111</v>
      </c>
      <c r="W55" s="16">
        <f>T55</f>
        <v>0.4368055555555555</v>
      </c>
      <c r="X55" s="16">
        <f>S56</f>
        <v>0.47499999999999992</v>
      </c>
      <c r="Y55" s="19"/>
      <c r="Z55" s="19"/>
      <c r="AA55" s="624"/>
      <c r="AB55" s="625"/>
      <c r="AC55" s="35"/>
      <c r="AD55" s="18"/>
      <c r="AE55" s="14">
        <f t="shared" si="8"/>
        <v>-135.13513513513544</v>
      </c>
      <c r="AF55" s="461">
        <f t="shared" si="9"/>
        <v>0.95495495495495486</v>
      </c>
      <c r="AG55" s="636"/>
    </row>
    <row r="56" spans="1:33" ht="15.75" customHeight="1">
      <c r="A56" s="633" t="s">
        <v>2281</v>
      </c>
      <c r="B56" s="29" t="s">
        <v>40</v>
      </c>
      <c r="C56" s="622" t="s">
        <v>44</v>
      </c>
      <c r="D56" s="623"/>
      <c r="E56" s="29">
        <v>27.17</v>
      </c>
      <c r="F56" s="471">
        <v>1382</v>
      </c>
      <c r="G56" s="462">
        <f t="shared" si="31"/>
        <v>37548.94</v>
      </c>
      <c r="H56" s="33" t="s">
        <v>57</v>
      </c>
      <c r="I56" s="468">
        <v>10</v>
      </c>
      <c r="J56" s="31">
        <v>3000</v>
      </c>
      <c r="K56" s="12">
        <f t="shared" si="1"/>
        <v>300</v>
      </c>
      <c r="L56" s="468">
        <v>10</v>
      </c>
      <c r="M56" s="13">
        <f t="shared" si="32"/>
        <v>2859.3103448275883</v>
      </c>
      <c r="N56" s="13">
        <f t="shared" si="3"/>
        <v>285.93103448275883</v>
      </c>
      <c r="O56" s="14">
        <f t="shared" si="4"/>
        <v>0</v>
      </c>
      <c r="P56" s="15">
        <f t="shared" si="5"/>
        <v>-14.068965517241168</v>
      </c>
      <c r="Q56" s="461">
        <f t="shared" si="6"/>
        <v>0.9531034482758628</v>
      </c>
      <c r="R56" s="636"/>
      <c r="S56" s="34">
        <v>0.47499999999999992</v>
      </c>
      <c r="T56" s="34">
        <v>0.4951388888888888</v>
      </c>
      <c r="U56" s="462">
        <f t="shared" si="34"/>
        <v>54.999999999999964</v>
      </c>
      <c r="V56" s="469">
        <f t="shared" si="33"/>
        <v>28.999999999999979</v>
      </c>
      <c r="W56" s="16"/>
      <c r="X56" s="16"/>
      <c r="Y56" s="19"/>
      <c r="Z56" s="19"/>
      <c r="AA56" s="624"/>
      <c r="AB56" s="625"/>
      <c r="AC56" s="35"/>
      <c r="AD56" s="18"/>
      <c r="AE56" s="14">
        <f t="shared" si="8"/>
        <v>-140.68965517241168</v>
      </c>
      <c r="AF56" s="461">
        <f t="shared" si="9"/>
        <v>0.9531034482758628</v>
      </c>
      <c r="AG56" s="636"/>
    </row>
    <row r="57" spans="1:33" ht="15.75" customHeight="1">
      <c r="A57" s="634" t="s">
        <v>2281</v>
      </c>
      <c r="B57" s="29" t="s">
        <v>2275</v>
      </c>
      <c r="C57" s="612"/>
      <c r="D57" s="613"/>
      <c r="E57" s="459"/>
      <c r="F57" s="471"/>
      <c r="G57" s="462"/>
      <c r="H57" s="471"/>
      <c r="I57" s="23">
        <v>10.6</v>
      </c>
      <c r="J57" s="31">
        <v>2800</v>
      </c>
      <c r="K57" s="12">
        <f t="shared" si="1"/>
        <v>264.15094339622641</v>
      </c>
      <c r="L57" s="23">
        <v>10.6</v>
      </c>
      <c r="M57" s="13">
        <f>AVERAGE(M52:M56)</f>
        <v>2686.8697365340358</v>
      </c>
      <c r="N57" s="12">
        <f t="shared" si="3"/>
        <v>253.47827703151282</v>
      </c>
      <c r="O57" s="14">
        <f t="shared" si="4"/>
        <v>0</v>
      </c>
      <c r="P57" s="15">
        <f t="shared" si="5"/>
        <v>-10.672666364713592</v>
      </c>
      <c r="Q57" s="461">
        <f t="shared" si="6"/>
        <v>0.95959633447644144</v>
      </c>
      <c r="R57" s="637"/>
      <c r="S57" s="34"/>
      <c r="T57" s="34"/>
      <c r="U57" s="462"/>
      <c r="V57" s="469"/>
      <c r="W57" s="16"/>
      <c r="X57" s="16"/>
      <c r="Y57" s="24">
        <f>SUM(Y52:Y56)</f>
        <v>0</v>
      </c>
      <c r="Z57" s="24">
        <f>SUM(Z52:Z56)</f>
        <v>0</v>
      </c>
      <c r="AA57" s="628"/>
      <c r="AB57" s="629"/>
      <c r="AC57" s="24">
        <v>5</v>
      </c>
      <c r="AD57" s="24">
        <f>SUM(AD52:AD56)</f>
        <v>0</v>
      </c>
      <c r="AE57" s="14">
        <f t="shared" si="8"/>
        <v>-113.13026346596416</v>
      </c>
      <c r="AF57" s="461">
        <f t="shared" si="9"/>
        <v>0.95959633447644133</v>
      </c>
      <c r="AG57" s="637"/>
    </row>
    <row r="58" spans="1:33" ht="15.75" customHeight="1">
      <c r="A58" s="630" t="s">
        <v>2282</v>
      </c>
      <c r="B58" s="29" t="s">
        <v>19</v>
      </c>
      <c r="C58" s="616" t="s">
        <v>81</v>
      </c>
      <c r="D58" s="616"/>
      <c r="E58" s="29">
        <v>46</v>
      </c>
      <c r="F58" s="32">
        <v>2936</v>
      </c>
      <c r="G58" s="462">
        <f t="shared" ref="G58:G64" si="35">E58*F58</f>
        <v>135056</v>
      </c>
      <c r="H58" s="33" t="s">
        <v>57</v>
      </c>
      <c r="I58" s="468">
        <v>16</v>
      </c>
      <c r="J58" s="31">
        <v>2000</v>
      </c>
      <c r="K58" s="12">
        <f t="shared" si="1"/>
        <v>125</v>
      </c>
      <c r="L58" s="468">
        <v>16</v>
      </c>
      <c r="M58" s="13">
        <f t="shared" ref="M58" si="36">F58/V58*60</f>
        <v>1914.7826086956516</v>
      </c>
      <c r="N58" s="13">
        <f t="shared" si="3"/>
        <v>119.67391304347822</v>
      </c>
      <c r="O58" s="14">
        <f t="shared" si="4"/>
        <v>0</v>
      </c>
      <c r="P58" s="15">
        <f t="shared" si="5"/>
        <v>-5.3260869565217774</v>
      </c>
      <c r="Q58" s="461">
        <f t="shared" si="6"/>
        <v>0.95739130434782582</v>
      </c>
      <c r="R58" s="615">
        <f>Q65</f>
        <v>0.95607634849800682</v>
      </c>
      <c r="S58" s="34">
        <v>0.16666666666666666</v>
      </c>
      <c r="T58" s="34">
        <v>0.23055555555555557</v>
      </c>
      <c r="U58" s="21"/>
      <c r="V58" s="469">
        <f t="shared" ref="V58:V64" si="37">(T58-S58)*24*60</f>
        <v>92.000000000000028</v>
      </c>
      <c r="W58" s="16">
        <f>T58</f>
        <v>0.23055555555555557</v>
      </c>
      <c r="X58" s="16">
        <f>S59</f>
        <v>0.24930555555555559</v>
      </c>
      <c r="Y58" s="21"/>
      <c r="Z58" s="21"/>
      <c r="AA58" s="617"/>
      <c r="AB58" s="617"/>
      <c r="AC58" s="35">
        <v>7</v>
      </c>
      <c r="AD58" s="18"/>
      <c r="AE58" s="14">
        <f t="shared" si="8"/>
        <v>-85.217391304348439</v>
      </c>
      <c r="AF58" s="461">
        <f t="shared" si="9"/>
        <v>0.95739130434782582</v>
      </c>
      <c r="AG58" s="615">
        <f>AF65</f>
        <v>0.95607634849800682</v>
      </c>
    </row>
    <row r="59" spans="1:33" ht="15.75" customHeight="1">
      <c r="A59" s="630" t="s">
        <v>2282</v>
      </c>
      <c r="B59" s="29" t="s">
        <v>19</v>
      </c>
      <c r="C59" s="616" t="s">
        <v>945</v>
      </c>
      <c r="D59" s="616"/>
      <c r="E59" s="29">
        <v>46</v>
      </c>
      <c r="F59" s="32">
        <v>4330</v>
      </c>
      <c r="G59" s="462">
        <f t="shared" si="35"/>
        <v>199180</v>
      </c>
      <c r="H59" s="33" t="s">
        <v>57</v>
      </c>
      <c r="I59" s="468">
        <v>17</v>
      </c>
      <c r="J59" s="31">
        <v>2000</v>
      </c>
      <c r="K59" s="12">
        <f t="shared" si="1"/>
        <v>117.64705882352941</v>
      </c>
      <c r="L59" s="468">
        <v>17</v>
      </c>
      <c r="M59" s="13">
        <f>F59/V59*60</f>
        <v>1910.2941176470595</v>
      </c>
      <c r="N59" s="13">
        <f t="shared" si="3"/>
        <v>112.37024221453291</v>
      </c>
      <c r="O59" s="14">
        <f t="shared" si="4"/>
        <v>0</v>
      </c>
      <c r="P59" s="15">
        <f t="shared" si="5"/>
        <v>-5.2768166089964978</v>
      </c>
      <c r="Q59" s="461">
        <f t="shared" si="6"/>
        <v>0.95514705882352979</v>
      </c>
      <c r="R59" s="615"/>
      <c r="S59" s="34">
        <v>0.24930555555555559</v>
      </c>
      <c r="T59" s="34">
        <v>0.34375</v>
      </c>
      <c r="U59" s="462">
        <f t="shared" ref="U59:U64" si="38">IF(S59=TIME(17,0,0),"",(S59-T58)*24*60)</f>
        <v>27.000000000000025</v>
      </c>
      <c r="V59" s="469">
        <f t="shared" si="37"/>
        <v>135.99999999999994</v>
      </c>
      <c r="W59" s="16"/>
      <c r="X59" s="16"/>
      <c r="Y59" s="16"/>
      <c r="Z59" s="16"/>
      <c r="AA59" s="617"/>
      <c r="AB59" s="617"/>
      <c r="AC59" s="35"/>
      <c r="AD59" s="18"/>
      <c r="AE59" s="14">
        <f t="shared" si="8"/>
        <v>-89.705882352940534</v>
      </c>
      <c r="AF59" s="461">
        <f t="shared" si="9"/>
        <v>0.95514705882352968</v>
      </c>
      <c r="AG59" s="615"/>
    </row>
    <row r="60" spans="1:33" ht="15.75" customHeight="1">
      <c r="A60" s="630" t="s">
        <v>2282</v>
      </c>
      <c r="B60" s="29" t="s">
        <v>15</v>
      </c>
      <c r="C60" s="622" t="s">
        <v>46</v>
      </c>
      <c r="D60" s="623"/>
      <c r="E60" s="29">
        <v>56.43</v>
      </c>
      <c r="F60" s="32">
        <v>1405</v>
      </c>
      <c r="G60" s="462">
        <f t="shared" si="35"/>
        <v>79284.149999999994</v>
      </c>
      <c r="H60" s="33" t="s">
        <v>57</v>
      </c>
      <c r="I60" s="468">
        <v>22</v>
      </c>
      <c r="J60" s="31">
        <v>2000</v>
      </c>
      <c r="K60" s="12">
        <f t="shared" si="1"/>
        <v>90.909090909090907</v>
      </c>
      <c r="L60" s="468">
        <v>22</v>
      </c>
      <c r="M60" s="13">
        <f t="shared" ref="M60:M64" si="39">F60/V60*60</f>
        <v>1915.909090909091</v>
      </c>
      <c r="N60" s="13">
        <f t="shared" si="3"/>
        <v>87.086776859504141</v>
      </c>
      <c r="O60" s="14">
        <f t="shared" si="4"/>
        <v>0</v>
      </c>
      <c r="P60" s="15">
        <f t="shared" si="5"/>
        <v>-3.8223140495867653</v>
      </c>
      <c r="Q60" s="461">
        <f t="shared" si="6"/>
        <v>0.95795454545454561</v>
      </c>
      <c r="R60" s="615"/>
      <c r="S60" s="34">
        <v>0.34722222222222221</v>
      </c>
      <c r="T60" s="34">
        <v>0.37777777777777777</v>
      </c>
      <c r="U60" s="462">
        <f t="shared" si="38"/>
        <v>4.9999999999999822</v>
      </c>
      <c r="V60" s="469">
        <f t="shared" si="37"/>
        <v>44</v>
      </c>
      <c r="W60" s="16"/>
      <c r="X60" s="16"/>
      <c r="Y60" s="19"/>
      <c r="Z60" s="19"/>
      <c r="AA60" s="617"/>
      <c r="AB60" s="617"/>
      <c r="AC60" s="35"/>
      <c r="AD60" s="18"/>
      <c r="AE60" s="14">
        <f t="shared" si="8"/>
        <v>-84.090909090909008</v>
      </c>
      <c r="AF60" s="461">
        <f t="shared" si="9"/>
        <v>0.9579545454545455</v>
      </c>
      <c r="AG60" s="615"/>
    </row>
    <row r="61" spans="1:33" ht="15.75" customHeight="1">
      <c r="A61" s="630" t="s">
        <v>2282</v>
      </c>
      <c r="B61" s="29" t="s">
        <v>15</v>
      </c>
      <c r="C61" s="464" t="s">
        <v>1472</v>
      </c>
      <c r="D61" s="465"/>
      <c r="E61" s="29">
        <v>51.44</v>
      </c>
      <c r="F61" s="32">
        <v>2330</v>
      </c>
      <c r="G61" s="462">
        <f t="shared" si="35"/>
        <v>119855.2</v>
      </c>
      <c r="H61" s="33" t="s">
        <v>57</v>
      </c>
      <c r="I61" s="468">
        <v>25</v>
      </c>
      <c r="J61" s="31">
        <v>2000</v>
      </c>
      <c r="K61" s="12">
        <f t="shared" si="1"/>
        <v>80</v>
      </c>
      <c r="L61" s="468">
        <v>25</v>
      </c>
      <c r="M61" s="13">
        <f t="shared" si="39"/>
        <v>1915.0684931506853</v>
      </c>
      <c r="N61" s="13">
        <f t="shared" si="3"/>
        <v>76.602739726027409</v>
      </c>
      <c r="O61" s="14">
        <f t="shared" si="4"/>
        <v>0</v>
      </c>
      <c r="P61" s="15">
        <f t="shared" si="5"/>
        <v>-3.3972602739725914</v>
      </c>
      <c r="Q61" s="461">
        <f t="shared" si="6"/>
        <v>0.95753424657534258</v>
      </c>
      <c r="R61" s="615"/>
      <c r="S61" s="34">
        <v>0.38124999999999998</v>
      </c>
      <c r="T61" s="34">
        <v>0.43194444444444441</v>
      </c>
      <c r="U61" s="462">
        <f t="shared" si="38"/>
        <v>4.9999999999999822</v>
      </c>
      <c r="V61" s="469">
        <f t="shared" si="37"/>
        <v>72.999999999999986</v>
      </c>
      <c r="W61" s="16"/>
      <c r="X61" s="16"/>
      <c r="Y61" s="19"/>
      <c r="Z61" s="19"/>
      <c r="AA61" s="617"/>
      <c r="AB61" s="617"/>
      <c r="AC61" s="35"/>
      <c r="AD61" s="18"/>
      <c r="AE61" s="14">
        <f t="shared" si="8"/>
        <v>-84.931506849314701</v>
      </c>
      <c r="AF61" s="461">
        <f t="shared" si="9"/>
        <v>0.9575342465753427</v>
      </c>
      <c r="AG61" s="615"/>
    </row>
    <row r="62" spans="1:33" ht="15.75" customHeight="1">
      <c r="A62" s="630" t="s">
        <v>2282</v>
      </c>
      <c r="B62" s="29" t="s">
        <v>15</v>
      </c>
      <c r="C62" s="464" t="s">
        <v>48</v>
      </c>
      <c r="D62" s="465"/>
      <c r="E62" s="29">
        <v>55.56</v>
      </c>
      <c r="F62" s="32">
        <v>2103</v>
      </c>
      <c r="G62" s="462">
        <f t="shared" si="35"/>
        <v>116842.68000000001</v>
      </c>
      <c r="H62" s="33" t="s">
        <v>57</v>
      </c>
      <c r="I62" s="468">
        <v>17</v>
      </c>
      <c r="J62" s="31">
        <v>2000</v>
      </c>
      <c r="K62" s="12">
        <f t="shared" si="1"/>
        <v>117.64705882352941</v>
      </c>
      <c r="L62" s="468">
        <v>17</v>
      </c>
      <c r="M62" s="13">
        <f t="shared" si="39"/>
        <v>1911.818181818184</v>
      </c>
      <c r="N62" s="13">
        <f t="shared" si="3"/>
        <v>112.45989304812848</v>
      </c>
      <c r="O62" s="14">
        <f t="shared" si="4"/>
        <v>0</v>
      </c>
      <c r="P62" s="15">
        <f t="shared" si="5"/>
        <v>-5.1871657754009277</v>
      </c>
      <c r="Q62" s="461">
        <f t="shared" si="6"/>
        <v>0.95590909090909215</v>
      </c>
      <c r="R62" s="615"/>
      <c r="S62" s="34">
        <v>0.70833333333333337</v>
      </c>
      <c r="T62" s="34">
        <v>0.75416666666666665</v>
      </c>
      <c r="U62" s="462" t="str">
        <f t="shared" si="38"/>
        <v/>
      </c>
      <c r="V62" s="469">
        <f t="shared" si="37"/>
        <v>65.999999999999929</v>
      </c>
      <c r="W62" s="16"/>
      <c r="X62" s="16"/>
      <c r="Y62" s="19"/>
      <c r="Z62" s="19"/>
      <c r="AA62" s="617"/>
      <c r="AB62" s="617"/>
      <c r="AC62" s="35"/>
      <c r="AD62" s="18"/>
      <c r="AE62" s="14">
        <f t="shared" si="8"/>
        <v>-88.18181818181597</v>
      </c>
      <c r="AF62" s="461">
        <f t="shared" si="9"/>
        <v>0.95590909090909204</v>
      </c>
      <c r="AG62" s="615"/>
    </row>
    <row r="63" spans="1:33" ht="15.75" customHeight="1">
      <c r="A63" s="630" t="s">
        <v>2282</v>
      </c>
      <c r="B63" s="29" t="s">
        <v>15</v>
      </c>
      <c r="C63" s="622" t="s">
        <v>841</v>
      </c>
      <c r="D63" s="623"/>
      <c r="E63" s="29">
        <v>54.09</v>
      </c>
      <c r="F63" s="32">
        <v>1945</v>
      </c>
      <c r="G63" s="462">
        <f t="shared" si="35"/>
        <v>105205.05</v>
      </c>
      <c r="H63" s="33" t="s">
        <v>57</v>
      </c>
      <c r="I63" s="468">
        <v>13</v>
      </c>
      <c r="J63" s="31">
        <v>2000</v>
      </c>
      <c r="K63" s="12">
        <f t="shared" si="1"/>
        <v>153.84615384615384</v>
      </c>
      <c r="L63" s="468">
        <v>13</v>
      </c>
      <c r="M63" s="13">
        <f t="shared" si="39"/>
        <v>1913.1147540983623</v>
      </c>
      <c r="N63" s="13">
        <f t="shared" si="3"/>
        <v>147.16267339218172</v>
      </c>
      <c r="O63" s="14">
        <f t="shared" si="4"/>
        <v>0</v>
      </c>
      <c r="P63" s="15">
        <f t="shared" si="5"/>
        <v>-6.6834804539721233</v>
      </c>
      <c r="Q63" s="461">
        <f t="shared" si="6"/>
        <v>0.9565573770491812</v>
      </c>
      <c r="R63" s="615"/>
      <c r="S63" s="34">
        <v>0.75902777777777775</v>
      </c>
      <c r="T63" s="34">
        <v>0.80138888888888882</v>
      </c>
      <c r="U63" s="462">
        <f t="shared" si="38"/>
        <v>6.9999999999999751</v>
      </c>
      <c r="V63" s="469">
        <f t="shared" si="37"/>
        <v>60.999999999999943</v>
      </c>
      <c r="W63" s="16"/>
      <c r="X63" s="16"/>
      <c r="Y63" s="19"/>
      <c r="Z63" s="19"/>
      <c r="AA63" s="624"/>
      <c r="AB63" s="625"/>
      <c r="AC63" s="35"/>
      <c r="AD63" s="18"/>
      <c r="AE63" s="14">
        <f t="shared" si="8"/>
        <v>-86.885245901637745</v>
      </c>
      <c r="AF63" s="461">
        <f t="shared" si="9"/>
        <v>0.95655737704918109</v>
      </c>
      <c r="AG63" s="615"/>
    </row>
    <row r="64" spans="1:33" ht="15.75" customHeight="1">
      <c r="A64" s="630" t="s">
        <v>2282</v>
      </c>
      <c r="B64" s="29" t="s">
        <v>15</v>
      </c>
      <c r="C64" s="622" t="s">
        <v>85</v>
      </c>
      <c r="D64" s="623"/>
      <c r="E64" s="29">
        <v>56.43</v>
      </c>
      <c r="F64" s="32">
        <v>1555</v>
      </c>
      <c r="G64" s="462">
        <f t="shared" si="35"/>
        <v>87748.65</v>
      </c>
      <c r="H64" s="33" t="s">
        <v>57</v>
      </c>
      <c r="I64" s="468">
        <v>13</v>
      </c>
      <c r="J64" s="31">
        <v>2000</v>
      </c>
      <c r="K64" s="12">
        <f t="shared" si="1"/>
        <v>153.84615384615384</v>
      </c>
      <c r="L64" s="468">
        <v>13</v>
      </c>
      <c r="M64" s="13">
        <f t="shared" si="39"/>
        <v>1904.0816326530619</v>
      </c>
      <c r="N64" s="13">
        <f t="shared" si="3"/>
        <v>146.46781789638936</v>
      </c>
      <c r="O64" s="14">
        <f t="shared" si="4"/>
        <v>0</v>
      </c>
      <c r="P64" s="15">
        <f t="shared" si="5"/>
        <v>-7.3783359497644767</v>
      </c>
      <c r="Q64" s="461">
        <f t="shared" si="6"/>
        <v>0.95204081632653093</v>
      </c>
      <c r="R64" s="615"/>
      <c r="S64" s="34">
        <v>0.80486111111111103</v>
      </c>
      <c r="T64" s="34">
        <v>0.8388888888888888</v>
      </c>
      <c r="U64" s="462">
        <f t="shared" si="38"/>
        <v>4.9999999999999822</v>
      </c>
      <c r="V64" s="469">
        <f t="shared" si="37"/>
        <v>48.999999999999986</v>
      </c>
      <c r="W64" s="16"/>
      <c r="X64" s="16"/>
      <c r="Y64" s="19"/>
      <c r="Z64" s="19"/>
      <c r="AA64" s="624"/>
      <c r="AB64" s="625"/>
      <c r="AC64" s="35"/>
      <c r="AD64" s="18"/>
      <c r="AE64" s="14">
        <f t="shared" si="8"/>
        <v>-95.918367346938112</v>
      </c>
      <c r="AF64" s="461">
        <f t="shared" si="9"/>
        <v>0.95204081632653093</v>
      </c>
      <c r="AG64" s="615"/>
    </row>
    <row r="65" spans="1:33">
      <c r="A65" s="631" t="s">
        <v>2282</v>
      </c>
      <c r="B65" s="29" t="s">
        <v>2275</v>
      </c>
      <c r="C65" s="618"/>
      <c r="D65" s="618"/>
      <c r="E65" s="463"/>
      <c r="F65" s="30"/>
      <c r="G65" s="12"/>
      <c r="H65" s="471"/>
      <c r="I65" s="23">
        <v>17.571428571428573</v>
      </c>
      <c r="J65" s="31">
        <v>2000</v>
      </c>
      <c r="K65" s="12">
        <f t="shared" si="1"/>
        <v>113.82113821138211</v>
      </c>
      <c r="L65" s="23">
        <v>17.571428571428573</v>
      </c>
      <c r="M65" s="13">
        <f>AVERAGE(M58:M64)</f>
        <v>1912.1526969960137</v>
      </c>
      <c r="N65" s="12">
        <f t="shared" si="3"/>
        <v>108.82169820302516</v>
      </c>
      <c r="O65" s="14">
        <f t="shared" si="4"/>
        <v>0</v>
      </c>
      <c r="P65" s="15">
        <f t="shared" si="5"/>
        <v>-4.9994400083569417</v>
      </c>
      <c r="Q65" s="461">
        <f t="shared" si="6"/>
        <v>0.95607634849800682</v>
      </c>
      <c r="R65" s="615"/>
      <c r="S65" s="34"/>
      <c r="T65" s="34"/>
      <c r="U65" s="462"/>
      <c r="V65" s="469"/>
      <c r="W65" s="12"/>
      <c r="X65" s="12"/>
      <c r="Y65" s="24">
        <f>SUM(Y58:Y64)</f>
        <v>0</v>
      </c>
      <c r="Z65" s="24">
        <f>SUM(Z58:Z64)</f>
        <v>0</v>
      </c>
      <c r="AA65" s="614"/>
      <c r="AB65" s="614"/>
      <c r="AC65" s="24">
        <v>7</v>
      </c>
      <c r="AD65" s="24">
        <f>SUM(AD58:AD64)</f>
        <v>0</v>
      </c>
      <c r="AE65" s="14">
        <f>M65-J65</f>
        <v>-87.847303003986326</v>
      </c>
      <c r="AF65" s="461">
        <f t="shared" si="9"/>
        <v>0.95607634849800682</v>
      </c>
      <c r="AG65" s="615"/>
    </row>
    <row r="66" spans="1:33" ht="15.75" customHeight="1">
      <c r="A66" s="626" t="s">
        <v>2283</v>
      </c>
      <c r="B66" s="471" t="s">
        <v>40</v>
      </c>
      <c r="C66" s="616" t="s">
        <v>49</v>
      </c>
      <c r="D66" s="616"/>
      <c r="E66" s="29">
        <v>34.36</v>
      </c>
      <c r="F66" s="32">
        <v>2261</v>
      </c>
      <c r="G66" s="462">
        <f t="shared" ref="G66:G69" si="40">E66*F66</f>
        <v>77687.959999999992</v>
      </c>
      <c r="H66" s="33" t="s">
        <v>57</v>
      </c>
      <c r="I66" s="468">
        <v>10</v>
      </c>
      <c r="J66" s="31">
        <v>3000</v>
      </c>
      <c r="K66" s="12">
        <f t="shared" si="1"/>
        <v>300</v>
      </c>
      <c r="L66" s="468">
        <v>10</v>
      </c>
      <c r="M66" s="13">
        <f t="shared" ref="M66:M69" si="41">F66/V66*60</f>
        <v>2886.3829787234044</v>
      </c>
      <c r="N66" s="12">
        <f t="shared" si="3"/>
        <v>288.63829787234044</v>
      </c>
      <c r="O66" s="14">
        <f t="shared" si="4"/>
        <v>0</v>
      </c>
      <c r="P66" s="15">
        <f t="shared" si="5"/>
        <v>-11.361702127659555</v>
      </c>
      <c r="Q66" s="461">
        <f t="shared" si="6"/>
        <v>0.96212765957446811</v>
      </c>
      <c r="R66" s="615">
        <f>Q70</f>
        <v>0.95889434362910786</v>
      </c>
      <c r="S66" s="34">
        <v>0.20833333333333334</v>
      </c>
      <c r="T66" s="34">
        <v>0.24097222222222223</v>
      </c>
      <c r="U66" s="462"/>
      <c r="V66" s="469">
        <f t="shared" ref="V66:V69" si="42">(T66-S66)*24*60</f>
        <v>46.999999999999993</v>
      </c>
      <c r="W66" s="16"/>
      <c r="X66" s="16"/>
      <c r="Y66" s="21"/>
      <c r="Z66" s="21"/>
      <c r="AA66" s="617"/>
      <c r="AB66" s="617"/>
      <c r="AC66" s="35">
        <v>4</v>
      </c>
      <c r="AD66" s="18"/>
      <c r="AE66" s="14">
        <f t="shared" ref="AE66:AE79" si="43">M66-J66</f>
        <v>-113.61702127659555</v>
      </c>
      <c r="AF66" s="461">
        <f t="shared" si="9"/>
        <v>0.96212765957446811</v>
      </c>
      <c r="AG66" s="615">
        <f>AF70</f>
        <v>0.95889434362910786</v>
      </c>
    </row>
    <row r="67" spans="1:33" ht="15.75" customHeight="1">
      <c r="A67" s="626" t="s">
        <v>2283</v>
      </c>
      <c r="B67" s="471" t="s">
        <v>40</v>
      </c>
      <c r="C67" s="616" t="s">
        <v>51</v>
      </c>
      <c r="D67" s="616"/>
      <c r="E67" s="29">
        <v>26.78</v>
      </c>
      <c r="F67" s="32">
        <v>2669</v>
      </c>
      <c r="G67" s="462">
        <f t="shared" si="40"/>
        <v>71475.820000000007</v>
      </c>
      <c r="H67" s="33" t="s">
        <v>57</v>
      </c>
      <c r="I67" s="468">
        <v>10</v>
      </c>
      <c r="J67" s="31">
        <v>3000</v>
      </c>
      <c r="K67" s="12">
        <f t="shared" si="1"/>
        <v>300</v>
      </c>
      <c r="L67" s="468">
        <v>10</v>
      </c>
      <c r="M67" s="13">
        <f t="shared" si="41"/>
        <v>2859.6428571428592</v>
      </c>
      <c r="N67" s="12">
        <f t="shared" si="3"/>
        <v>285.96428571428589</v>
      </c>
      <c r="O67" s="14">
        <f t="shared" si="4"/>
        <v>0</v>
      </c>
      <c r="P67" s="15">
        <f t="shared" si="5"/>
        <v>-14.035714285714107</v>
      </c>
      <c r="Q67" s="461">
        <f t="shared" si="6"/>
        <v>0.95321428571428635</v>
      </c>
      <c r="R67" s="615"/>
      <c r="S67" s="34">
        <v>0.24652777777777779</v>
      </c>
      <c r="T67" s="34">
        <v>0.28541666666666665</v>
      </c>
      <c r="U67" s="462">
        <f t="shared" ref="U67:U69" si="44">(S67-T66)*24*60</f>
        <v>8.0000000000000107</v>
      </c>
      <c r="V67" s="469">
        <f t="shared" si="42"/>
        <v>55.999999999999957</v>
      </c>
      <c r="W67" s="462"/>
      <c r="X67" s="462"/>
      <c r="Y67" s="462"/>
      <c r="Z67" s="462"/>
      <c r="AA67" s="617"/>
      <c r="AB67" s="617"/>
      <c r="AC67" s="35"/>
      <c r="AD67" s="18"/>
      <c r="AE67" s="14">
        <f t="shared" si="43"/>
        <v>-140.35714285714084</v>
      </c>
      <c r="AF67" s="461">
        <f t="shared" si="9"/>
        <v>0.95321428571428635</v>
      </c>
      <c r="AG67" s="615"/>
    </row>
    <row r="68" spans="1:33" ht="15.75" customHeight="1">
      <c r="A68" s="626" t="s">
        <v>2283</v>
      </c>
      <c r="B68" s="471" t="s">
        <v>40</v>
      </c>
      <c r="C68" s="616" t="s">
        <v>52</v>
      </c>
      <c r="D68" s="616"/>
      <c r="E68" s="29">
        <v>35.869999999999997</v>
      </c>
      <c r="F68" s="32">
        <v>3872</v>
      </c>
      <c r="G68" s="462">
        <f t="shared" si="40"/>
        <v>138888.63999999998</v>
      </c>
      <c r="H68" s="33" t="s">
        <v>57</v>
      </c>
      <c r="I68" s="468">
        <v>9</v>
      </c>
      <c r="J68" s="31">
        <v>3000</v>
      </c>
      <c r="K68" s="12">
        <f t="shared" si="1"/>
        <v>333.33333333333331</v>
      </c>
      <c r="L68" s="468">
        <v>9</v>
      </c>
      <c r="M68" s="13">
        <f t="shared" si="41"/>
        <v>2868.1481481481474</v>
      </c>
      <c r="N68" s="12">
        <f t="shared" si="3"/>
        <v>318.68312757201636</v>
      </c>
      <c r="O68" s="14">
        <f t="shared" si="4"/>
        <v>0</v>
      </c>
      <c r="P68" s="15">
        <f t="shared" si="5"/>
        <v>-14.650205761316954</v>
      </c>
      <c r="Q68" s="461">
        <f t="shared" si="6"/>
        <v>0.95604938271604911</v>
      </c>
      <c r="R68" s="615"/>
      <c r="S68" s="34">
        <v>0.2895833333333333</v>
      </c>
      <c r="T68" s="34">
        <v>0.34583333333333333</v>
      </c>
      <c r="U68" s="462">
        <f t="shared" si="44"/>
        <v>5.9999999999999787</v>
      </c>
      <c r="V68" s="469">
        <f t="shared" si="42"/>
        <v>81.000000000000028</v>
      </c>
      <c r="W68" s="462"/>
      <c r="X68" s="462"/>
      <c r="Y68" s="462"/>
      <c r="Z68" s="462"/>
      <c r="AA68" s="617"/>
      <c r="AB68" s="617"/>
      <c r="AC68" s="35"/>
      <c r="AD68" s="18"/>
      <c r="AE68" s="14">
        <f t="shared" si="43"/>
        <v>-131.85185185185264</v>
      </c>
      <c r="AF68" s="461">
        <f t="shared" si="9"/>
        <v>0.95604938271604911</v>
      </c>
      <c r="AG68" s="615"/>
    </row>
    <row r="69" spans="1:33" ht="15.75" customHeight="1">
      <c r="A69" s="626" t="s">
        <v>2283</v>
      </c>
      <c r="B69" s="471" t="s">
        <v>40</v>
      </c>
      <c r="C69" s="616" t="s">
        <v>53</v>
      </c>
      <c r="D69" s="616"/>
      <c r="E69" s="29">
        <v>34.35</v>
      </c>
      <c r="F69" s="32">
        <v>2073</v>
      </c>
      <c r="G69" s="462">
        <f t="shared" si="40"/>
        <v>71207.55</v>
      </c>
      <c r="H69" s="33" t="s">
        <v>57</v>
      </c>
      <c r="I69" s="468">
        <v>8</v>
      </c>
      <c r="J69" s="31">
        <v>3000</v>
      </c>
      <c r="K69" s="12">
        <f t="shared" ref="K69:K79" si="45">J69/I69</f>
        <v>375</v>
      </c>
      <c r="L69" s="468">
        <v>8</v>
      </c>
      <c r="M69" s="13">
        <f t="shared" si="41"/>
        <v>2892.5581395348836</v>
      </c>
      <c r="N69" s="12">
        <f t="shared" ref="N69:N79" si="46">M69/L69</f>
        <v>361.56976744186045</v>
      </c>
      <c r="O69" s="14">
        <f t="shared" ref="O69:O79" si="47">L69-I69</f>
        <v>0</v>
      </c>
      <c r="P69" s="15">
        <f t="shared" ref="P69:P79" si="48">N69-K69</f>
        <v>-13.430232558139551</v>
      </c>
      <c r="Q69" s="461">
        <f t="shared" ref="Q69:Q79" si="49">N69/K69</f>
        <v>0.96418604651162787</v>
      </c>
      <c r="R69" s="615"/>
      <c r="S69" s="34">
        <v>0.35069444444444442</v>
      </c>
      <c r="T69" s="34">
        <v>0.38055555555555554</v>
      </c>
      <c r="U69" s="462">
        <f t="shared" si="44"/>
        <v>6.9999999999999751</v>
      </c>
      <c r="V69" s="469">
        <f t="shared" si="42"/>
        <v>43.000000000000007</v>
      </c>
      <c r="W69" s="462"/>
      <c r="X69" s="462"/>
      <c r="Y69" s="462"/>
      <c r="Z69" s="462"/>
      <c r="AA69" s="617"/>
      <c r="AB69" s="617"/>
      <c r="AC69" s="35"/>
      <c r="AD69" s="18"/>
      <c r="AE69" s="14">
        <f t="shared" si="43"/>
        <v>-107.44186046511641</v>
      </c>
      <c r="AF69" s="461">
        <f t="shared" ref="AF69:AF79" si="50">M69/J69</f>
        <v>0.96418604651162787</v>
      </c>
      <c r="AG69" s="615"/>
    </row>
    <row r="70" spans="1:33">
      <c r="A70" s="627" t="s">
        <v>2283</v>
      </c>
      <c r="B70" s="29" t="s">
        <v>2275</v>
      </c>
      <c r="C70" s="618"/>
      <c r="D70" s="618"/>
      <c r="E70" s="463"/>
      <c r="F70" s="30"/>
      <c r="G70" s="12"/>
      <c r="H70" s="471"/>
      <c r="I70" s="23">
        <v>9.25</v>
      </c>
      <c r="J70" s="31">
        <v>3000</v>
      </c>
      <c r="K70" s="12">
        <f t="shared" si="45"/>
        <v>324.32432432432432</v>
      </c>
      <c r="L70" s="23">
        <v>9.25</v>
      </c>
      <c r="M70" s="13">
        <f>AVERAGE(M66:M69)</f>
        <v>2876.6830308873236</v>
      </c>
      <c r="N70" s="12">
        <f t="shared" si="46"/>
        <v>310.99276009592688</v>
      </c>
      <c r="O70" s="14">
        <f t="shared" si="47"/>
        <v>0</v>
      </c>
      <c r="P70" s="15">
        <f t="shared" si="48"/>
        <v>-13.33156422839744</v>
      </c>
      <c r="Q70" s="461">
        <f t="shared" si="49"/>
        <v>0.95889434362910786</v>
      </c>
      <c r="R70" s="615"/>
      <c r="S70" s="34"/>
      <c r="T70" s="34"/>
      <c r="U70" s="12"/>
      <c r="V70" s="469"/>
      <c r="W70" s="12"/>
      <c r="X70" s="12"/>
      <c r="Y70" s="24">
        <f>SUM(Y66:Y69)</f>
        <v>0</v>
      </c>
      <c r="Z70" s="24">
        <f>SUM(Z66:Z69)</f>
        <v>0</v>
      </c>
      <c r="AA70" s="614"/>
      <c r="AB70" s="614"/>
      <c r="AC70" s="24">
        <v>4</v>
      </c>
      <c r="AD70" s="24">
        <f>SUM(AD66:AD69)</f>
        <v>0</v>
      </c>
      <c r="AE70" s="14">
        <f t="shared" si="43"/>
        <v>-123.31696911267636</v>
      </c>
      <c r="AF70" s="461">
        <f t="shared" si="50"/>
        <v>0.95889434362910786</v>
      </c>
      <c r="AG70" s="615"/>
    </row>
    <row r="71" spans="1:33" ht="15.75" customHeight="1">
      <c r="A71" s="619" t="s">
        <v>2284</v>
      </c>
      <c r="B71" s="471" t="s">
        <v>32</v>
      </c>
      <c r="C71" s="616" t="s">
        <v>56</v>
      </c>
      <c r="D71" s="616"/>
      <c r="E71" s="29">
        <v>19.02</v>
      </c>
      <c r="F71" s="471">
        <v>4000</v>
      </c>
      <c r="G71" s="462">
        <f t="shared" ref="G71:G78" si="51">E71*F71</f>
        <v>76080</v>
      </c>
      <c r="H71" s="33">
        <v>2</v>
      </c>
      <c r="I71" s="468">
        <v>14</v>
      </c>
      <c r="J71" s="31">
        <v>2400</v>
      </c>
      <c r="K71" s="12">
        <f t="shared" si="45"/>
        <v>171.42857142857142</v>
      </c>
      <c r="L71" s="468">
        <v>14</v>
      </c>
      <c r="M71" s="13">
        <f t="shared" ref="M71:M78" si="52">F71/V71*60</f>
        <v>2285.7142857142858</v>
      </c>
      <c r="N71" s="12">
        <f t="shared" si="46"/>
        <v>163.26530612244898</v>
      </c>
      <c r="O71" s="14">
        <f t="shared" si="47"/>
        <v>0</v>
      </c>
      <c r="P71" s="15">
        <f t="shared" si="48"/>
        <v>-8.1632653061224403</v>
      </c>
      <c r="Q71" s="461">
        <f t="shared" si="49"/>
        <v>0.95238095238095244</v>
      </c>
      <c r="R71" s="615">
        <f>Q79</f>
        <v>0.9551736476996826</v>
      </c>
      <c r="S71" s="34">
        <v>8.3333333333333329E-2</v>
      </c>
      <c r="T71" s="34">
        <v>0.15625</v>
      </c>
      <c r="U71" s="21"/>
      <c r="V71" s="469">
        <f t="shared" ref="V71:V78" si="53">(T71-S71)*24*60</f>
        <v>105</v>
      </c>
      <c r="W71" s="16">
        <f>T71</f>
        <v>0.15625</v>
      </c>
      <c r="X71" s="16">
        <f>S72</f>
        <v>0.17499999999999999</v>
      </c>
      <c r="Y71" s="16"/>
      <c r="Z71" s="16"/>
      <c r="AA71" s="617"/>
      <c r="AB71" s="617"/>
      <c r="AC71" s="35">
        <v>8</v>
      </c>
      <c r="AD71" s="18"/>
      <c r="AE71" s="14">
        <f t="shared" si="43"/>
        <v>-114.28571428571422</v>
      </c>
      <c r="AF71" s="461">
        <f t="shared" si="50"/>
        <v>0.95238095238095244</v>
      </c>
      <c r="AG71" s="615">
        <f>AF79</f>
        <v>0.95517364769968249</v>
      </c>
    </row>
    <row r="72" spans="1:33" ht="15.75" customHeight="1">
      <c r="A72" s="620" t="s">
        <v>2284</v>
      </c>
      <c r="B72" s="471" t="s">
        <v>32</v>
      </c>
      <c r="C72" s="616" t="s">
        <v>36</v>
      </c>
      <c r="D72" s="616"/>
      <c r="E72" s="29">
        <v>20.36</v>
      </c>
      <c r="F72" s="471">
        <v>2600</v>
      </c>
      <c r="G72" s="462">
        <f t="shared" si="51"/>
        <v>52936</v>
      </c>
      <c r="H72" s="33">
        <v>2</v>
      </c>
      <c r="I72" s="468">
        <v>17</v>
      </c>
      <c r="J72" s="31">
        <v>2400</v>
      </c>
      <c r="K72" s="12">
        <f t="shared" si="45"/>
        <v>141.1764705882353</v>
      </c>
      <c r="L72" s="468">
        <v>17</v>
      </c>
      <c r="M72" s="13">
        <f t="shared" si="52"/>
        <v>2294.1176470588234</v>
      </c>
      <c r="N72" s="12">
        <f t="shared" si="46"/>
        <v>134.94809688581313</v>
      </c>
      <c r="O72" s="14">
        <f t="shared" si="47"/>
        <v>0</v>
      </c>
      <c r="P72" s="15">
        <f t="shared" si="48"/>
        <v>-6.228373702422175</v>
      </c>
      <c r="Q72" s="461">
        <f t="shared" si="49"/>
        <v>0.95588235294117629</v>
      </c>
      <c r="R72" s="615"/>
      <c r="S72" s="34">
        <v>0.17499999999999999</v>
      </c>
      <c r="T72" s="34">
        <v>0.22222222222222221</v>
      </c>
      <c r="U72" s="462">
        <f t="shared" ref="U72:U78" si="54">(S72-T71)*24*60</f>
        <v>26.999999999999986</v>
      </c>
      <c r="V72" s="469">
        <f t="shared" si="53"/>
        <v>68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-105.88235294117658</v>
      </c>
      <c r="AF72" s="461">
        <f t="shared" si="50"/>
        <v>0.95588235294117641</v>
      </c>
      <c r="AG72" s="615"/>
    </row>
    <row r="73" spans="1:33" ht="15.75" customHeight="1">
      <c r="A73" s="620" t="s">
        <v>2284</v>
      </c>
      <c r="B73" s="471" t="s">
        <v>32</v>
      </c>
      <c r="C73" s="616" t="s">
        <v>54</v>
      </c>
      <c r="D73" s="616"/>
      <c r="E73" s="29">
        <v>20.21</v>
      </c>
      <c r="F73" s="471">
        <v>3058</v>
      </c>
      <c r="G73" s="462">
        <f t="shared" si="51"/>
        <v>61802.18</v>
      </c>
      <c r="H73" s="33" t="s">
        <v>57</v>
      </c>
      <c r="I73" s="468">
        <v>15</v>
      </c>
      <c r="J73" s="31">
        <v>2400</v>
      </c>
      <c r="K73" s="12">
        <f t="shared" si="45"/>
        <v>160</v>
      </c>
      <c r="L73" s="468">
        <v>15</v>
      </c>
      <c r="M73" s="13">
        <f t="shared" si="52"/>
        <v>2293.5</v>
      </c>
      <c r="N73" s="12">
        <f t="shared" si="46"/>
        <v>152.9</v>
      </c>
      <c r="O73" s="14">
        <f t="shared" si="47"/>
        <v>0</v>
      </c>
      <c r="P73" s="15">
        <f t="shared" si="48"/>
        <v>-7.0999999999999943</v>
      </c>
      <c r="Q73" s="461">
        <f t="shared" si="49"/>
        <v>0.95562500000000006</v>
      </c>
      <c r="R73" s="615"/>
      <c r="S73" s="34">
        <v>0.22777777777777777</v>
      </c>
      <c r="T73" s="34">
        <v>0.28333333333333333</v>
      </c>
      <c r="U73" s="462">
        <f t="shared" si="54"/>
        <v>8.0000000000000107</v>
      </c>
      <c r="V73" s="469">
        <f t="shared" si="53"/>
        <v>80</v>
      </c>
      <c r="W73" s="16"/>
      <c r="X73" s="16"/>
      <c r="Y73" s="16"/>
      <c r="Z73" s="16"/>
      <c r="AA73" s="617"/>
      <c r="AB73" s="617"/>
      <c r="AC73" s="35"/>
      <c r="AD73" s="18"/>
      <c r="AE73" s="14">
        <f t="shared" si="43"/>
        <v>-106.5</v>
      </c>
      <c r="AF73" s="461">
        <f t="shared" si="50"/>
        <v>0.95562499999999995</v>
      </c>
      <c r="AG73" s="615"/>
    </row>
    <row r="74" spans="1:33" ht="15.75" customHeight="1">
      <c r="A74" s="620" t="s">
        <v>2284</v>
      </c>
      <c r="B74" s="471" t="s">
        <v>32</v>
      </c>
      <c r="C74" s="616" t="s">
        <v>55</v>
      </c>
      <c r="D74" s="616"/>
      <c r="E74" s="29">
        <v>22.69</v>
      </c>
      <c r="F74" s="471">
        <v>3191</v>
      </c>
      <c r="G74" s="462">
        <f t="shared" si="51"/>
        <v>72403.790000000008</v>
      </c>
      <c r="H74" s="33" t="s">
        <v>57</v>
      </c>
      <c r="I74" s="468">
        <v>15</v>
      </c>
      <c r="J74" s="31">
        <v>2400</v>
      </c>
      <c r="K74" s="12">
        <f t="shared" si="45"/>
        <v>160</v>
      </c>
      <c r="L74" s="468">
        <v>15</v>
      </c>
      <c r="M74" s="13">
        <f t="shared" si="52"/>
        <v>2306.7469879518067</v>
      </c>
      <c r="N74" s="12">
        <f t="shared" si="46"/>
        <v>153.78313253012044</v>
      </c>
      <c r="O74" s="14">
        <f t="shared" si="47"/>
        <v>0</v>
      </c>
      <c r="P74" s="15">
        <f t="shared" si="48"/>
        <v>-6.2168674698795598</v>
      </c>
      <c r="Q74" s="461">
        <f t="shared" si="49"/>
        <v>0.96114457831325273</v>
      </c>
      <c r="R74" s="615"/>
      <c r="S74" s="34">
        <v>0.28819444444444442</v>
      </c>
      <c r="T74" s="34">
        <v>0.34583333333333333</v>
      </c>
      <c r="U74" s="462">
        <f t="shared" si="54"/>
        <v>6.9999999999999751</v>
      </c>
      <c r="V74" s="469">
        <f t="shared" si="53"/>
        <v>83.000000000000028</v>
      </c>
      <c r="W74" s="16"/>
      <c r="X74" s="16"/>
      <c r="Y74" s="16"/>
      <c r="Z74" s="16"/>
      <c r="AA74" s="617"/>
      <c r="AB74" s="617"/>
      <c r="AC74" s="35"/>
      <c r="AD74" s="18"/>
      <c r="AE74" s="14">
        <f t="shared" si="43"/>
        <v>-93.253012048193341</v>
      </c>
      <c r="AF74" s="461">
        <f t="shared" si="50"/>
        <v>0.96114457831325273</v>
      </c>
      <c r="AG74" s="615"/>
    </row>
    <row r="75" spans="1:33" ht="15.75" customHeight="1">
      <c r="A75" s="620" t="s">
        <v>2284</v>
      </c>
      <c r="B75" s="471" t="s">
        <v>32</v>
      </c>
      <c r="C75" s="616" t="s">
        <v>39</v>
      </c>
      <c r="D75" s="616"/>
      <c r="E75" s="29">
        <v>34.1</v>
      </c>
      <c r="F75" s="471">
        <v>3500</v>
      </c>
      <c r="G75" s="462">
        <f t="shared" si="51"/>
        <v>119350</v>
      </c>
      <c r="H75" s="33">
        <v>2</v>
      </c>
      <c r="I75" s="468">
        <v>17</v>
      </c>
      <c r="J75" s="31">
        <v>1600</v>
      </c>
      <c r="K75" s="12">
        <f t="shared" si="45"/>
        <v>94.117647058823536</v>
      </c>
      <c r="L75" s="468">
        <v>17</v>
      </c>
      <c r="M75" s="13">
        <f t="shared" si="52"/>
        <v>1521.7391304347827</v>
      </c>
      <c r="N75" s="12">
        <f t="shared" si="46"/>
        <v>89.514066496163693</v>
      </c>
      <c r="O75" s="14">
        <f t="shared" si="47"/>
        <v>0</v>
      </c>
      <c r="P75" s="15">
        <f t="shared" si="48"/>
        <v>-4.6035805626598432</v>
      </c>
      <c r="Q75" s="461">
        <f t="shared" si="49"/>
        <v>0.95108695652173914</v>
      </c>
      <c r="R75" s="615"/>
      <c r="S75" s="34">
        <v>0.34930555555555554</v>
      </c>
      <c r="T75" s="34">
        <v>0.44513888888888886</v>
      </c>
      <c r="U75" s="462">
        <f t="shared" si="54"/>
        <v>4.9999999999999822</v>
      </c>
      <c r="V75" s="469">
        <f t="shared" si="53"/>
        <v>138</v>
      </c>
      <c r="W75" s="16">
        <f>T75</f>
        <v>0.44513888888888886</v>
      </c>
      <c r="X75" s="16">
        <f>S76</f>
        <v>0.48402777777777772</v>
      </c>
      <c r="Y75" s="16"/>
      <c r="Z75" s="16"/>
      <c r="AA75" s="617"/>
      <c r="AB75" s="617"/>
      <c r="AC75" s="35"/>
      <c r="AD75" s="18"/>
      <c r="AE75" s="14">
        <f t="shared" si="43"/>
        <v>-78.260869565217263</v>
      </c>
      <c r="AF75" s="461">
        <f t="shared" si="50"/>
        <v>0.95108695652173925</v>
      </c>
      <c r="AG75" s="615"/>
    </row>
    <row r="76" spans="1:33" ht="15.75" customHeight="1">
      <c r="A76" s="620" t="s">
        <v>2284</v>
      </c>
      <c r="B76" s="471" t="s">
        <v>32</v>
      </c>
      <c r="C76" s="616" t="s">
        <v>56</v>
      </c>
      <c r="D76" s="616"/>
      <c r="E76" s="29">
        <v>19.02</v>
      </c>
      <c r="F76" s="471">
        <v>6227</v>
      </c>
      <c r="G76" s="462">
        <f t="shared" si="51"/>
        <v>118437.54</v>
      </c>
      <c r="H76" s="33" t="s">
        <v>57</v>
      </c>
      <c r="I76" s="468">
        <v>14</v>
      </c>
      <c r="J76" s="31">
        <v>2400</v>
      </c>
      <c r="K76" s="12">
        <f t="shared" si="45"/>
        <v>171.42857142857142</v>
      </c>
      <c r="L76" s="468">
        <v>14</v>
      </c>
      <c r="M76" s="13">
        <f t="shared" si="52"/>
        <v>2292.1472392638029</v>
      </c>
      <c r="N76" s="12">
        <f t="shared" si="46"/>
        <v>163.72480280455736</v>
      </c>
      <c r="O76" s="14">
        <f t="shared" si="47"/>
        <v>0</v>
      </c>
      <c r="P76" s="15">
        <f t="shared" si="48"/>
        <v>-7.7037686240140602</v>
      </c>
      <c r="Q76" s="461">
        <f t="shared" si="49"/>
        <v>0.95506134969325129</v>
      </c>
      <c r="R76" s="615"/>
      <c r="S76" s="34">
        <v>0.48402777777777772</v>
      </c>
      <c r="T76" s="34">
        <v>0.59722222222222221</v>
      </c>
      <c r="U76" s="462">
        <f t="shared" si="54"/>
        <v>55.999999999999957</v>
      </c>
      <c r="V76" s="469">
        <f t="shared" si="53"/>
        <v>163.00000000000006</v>
      </c>
      <c r="W76" s="16"/>
      <c r="X76" s="16"/>
      <c r="Y76" s="16"/>
      <c r="Z76" s="16"/>
      <c r="AA76" s="617"/>
      <c r="AB76" s="617"/>
      <c r="AC76" s="35"/>
      <c r="AD76" s="18"/>
      <c r="AE76" s="14">
        <f t="shared" si="43"/>
        <v>-107.85276073619707</v>
      </c>
      <c r="AF76" s="461">
        <f t="shared" si="50"/>
        <v>0.95506134969325118</v>
      </c>
      <c r="AG76" s="615"/>
    </row>
    <row r="77" spans="1:33" ht="15.75" customHeight="1">
      <c r="A77" s="620" t="s">
        <v>2284</v>
      </c>
      <c r="B77" s="471" t="s">
        <v>32</v>
      </c>
      <c r="C77" s="622" t="s">
        <v>39</v>
      </c>
      <c r="D77" s="623"/>
      <c r="E77" s="29">
        <v>34.1</v>
      </c>
      <c r="F77" s="471">
        <v>2806</v>
      </c>
      <c r="G77" s="462">
        <f t="shared" si="51"/>
        <v>95684.6</v>
      </c>
      <c r="H77" s="33" t="s">
        <v>57</v>
      </c>
      <c r="I77" s="468">
        <v>17</v>
      </c>
      <c r="J77" s="31">
        <v>1600</v>
      </c>
      <c r="K77" s="12">
        <f t="shared" si="45"/>
        <v>94.117647058823536</v>
      </c>
      <c r="L77" s="468">
        <v>17</v>
      </c>
      <c r="M77" s="13">
        <f t="shared" si="52"/>
        <v>1530.5454545454556</v>
      </c>
      <c r="N77" s="12">
        <f t="shared" si="46"/>
        <v>90.032085561497396</v>
      </c>
      <c r="O77" s="14">
        <f t="shared" si="47"/>
        <v>0</v>
      </c>
      <c r="P77" s="15">
        <f t="shared" si="48"/>
        <v>-4.0855614973261396</v>
      </c>
      <c r="Q77" s="461">
        <f t="shared" si="49"/>
        <v>0.95659090909090982</v>
      </c>
      <c r="R77" s="615"/>
      <c r="S77" s="34">
        <v>0.60138888888888886</v>
      </c>
      <c r="T77" s="34">
        <v>0.6777777777777777</v>
      </c>
      <c r="U77" s="462">
        <f t="shared" si="54"/>
        <v>5.9999999999999787</v>
      </c>
      <c r="V77" s="469">
        <f t="shared" si="53"/>
        <v>109.99999999999993</v>
      </c>
      <c r="W77" s="16"/>
      <c r="X77" s="16"/>
      <c r="Y77" s="19"/>
      <c r="Z77" s="19"/>
      <c r="AA77" s="624"/>
      <c r="AB77" s="625"/>
      <c r="AC77" s="35"/>
      <c r="AD77" s="18"/>
      <c r="AE77" s="14">
        <f t="shared" si="43"/>
        <v>-69.454545454544359</v>
      </c>
      <c r="AF77" s="461">
        <f t="shared" si="50"/>
        <v>0.95659090909090982</v>
      </c>
      <c r="AG77" s="615"/>
    </row>
    <row r="78" spans="1:33" ht="15.75" customHeight="1">
      <c r="A78" s="620" t="s">
        <v>2284</v>
      </c>
      <c r="B78" s="471" t="s">
        <v>32</v>
      </c>
      <c r="C78" s="622" t="s">
        <v>36</v>
      </c>
      <c r="D78" s="623"/>
      <c r="E78" s="29">
        <v>20.36</v>
      </c>
      <c r="F78" s="471">
        <v>2096</v>
      </c>
      <c r="G78" s="462">
        <f t="shared" si="51"/>
        <v>42674.559999999998</v>
      </c>
      <c r="H78" s="33" t="s">
        <v>57</v>
      </c>
      <c r="I78" s="468">
        <v>17</v>
      </c>
      <c r="J78" s="31">
        <v>2400</v>
      </c>
      <c r="K78" s="12">
        <f t="shared" si="45"/>
        <v>141.1764705882353</v>
      </c>
      <c r="L78" s="468">
        <v>17</v>
      </c>
      <c r="M78" s="13">
        <f t="shared" si="52"/>
        <v>2286.5454545454559</v>
      </c>
      <c r="N78" s="12">
        <f t="shared" si="46"/>
        <v>134.50267379679153</v>
      </c>
      <c r="O78" s="14">
        <f t="shared" si="47"/>
        <v>0</v>
      </c>
      <c r="P78" s="15">
        <f t="shared" si="48"/>
        <v>-6.6737967914437775</v>
      </c>
      <c r="Q78" s="461">
        <f t="shared" si="49"/>
        <v>0.9527272727272732</v>
      </c>
      <c r="R78" s="615"/>
      <c r="S78" s="34">
        <v>0.68194444444444435</v>
      </c>
      <c r="T78" s="34">
        <v>0.72013888888888877</v>
      </c>
      <c r="U78" s="462">
        <f t="shared" si="54"/>
        <v>5.9999999999999787</v>
      </c>
      <c r="V78" s="469">
        <f t="shared" si="53"/>
        <v>54.999999999999964</v>
      </c>
      <c r="W78" s="16"/>
      <c r="X78" s="16"/>
      <c r="Y78" s="19"/>
      <c r="Z78" s="19"/>
      <c r="AA78" s="624"/>
      <c r="AB78" s="625"/>
      <c r="AC78" s="35"/>
      <c r="AD78" s="18"/>
      <c r="AE78" s="14">
        <f t="shared" si="43"/>
        <v>-113.45454545454413</v>
      </c>
      <c r="AF78" s="461">
        <f t="shared" si="50"/>
        <v>0.95272727272727331</v>
      </c>
      <c r="AG78" s="615"/>
    </row>
    <row r="79" spans="1:33" ht="16.5" customHeight="1">
      <c r="A79" s="621" t="s">
        <v>2284</v>
      </c>
      <c r="B79" s="29" t="s">
        <v>2275</v>
      </c>
      <c r="C79" s="612"/>
      <c r="D79" s="613"/>
      <c r="E79" s="463"/>
      <c r="F79" s="30"/>
      <c r="G79" s="12"/>
      <c r="H79" s="471"/>
      <c r="I79" s="23">
        <v>15.75</v>
      </c>
      <c r="J79" s="31">
        <v>2200</v>
      </c>
      <c r="K79" s="12">
        <f t="shared" si="45"/>
        <v>139.68253968253967</v>
      </c>
      <c r="L79" s="23">
        <v>15.75</v>
      </c>
      <c r="M79" s="13">
        <f>AVERAGE(M71:M78)</f>
        <v>2101.3820249393016</v>
      </c>
      <c r="N79" s="12">
        <f t="shared" si="46"/>
        <v>133.42108094852708</v>
      </c>
      <c r="O79" s="14">
        <f t="shared" si="47"/>
        <v>0</v>
      </c>
      <c r="P79" s="15">
        <f t="shared" si="48"/>
        <v>-6.2614587340125922</v>
      </c>
      <c r="Q79" s="461">
        <f t="shared" si="49"/>
        <v>0.9551736476996826</v>
      </c>
      <c r="R79" s="615"/>
      <c r="S79" s="34"/>
      <c r="T79" s="34"/>
      <c r="U79" s="12"/>
      <c r="V79" s="469"/>
      <c r="W79" s="12"/>
      <c r="X79" s="12"/>
      <c r="Y79" s="24">
        <f>SUM(Y71:Y78)</f>
        <v>0</v>
      </c>
      <c r="Z79" s="24">
        <f>SUM(Z71:Z78)</f>
        <v>0</v>
      </c>
      <c r="AA79" s="614"/>
      <c r="AB79" s="614"/>
      <c r="AC79" s="24">
        <v>8</v>
      </c>
      <c r="AD79" s="24">
        <f>SUM(AD71:AD78)</f>
        <v>0</v>
      </c>
      <c r="AE79" s="14">
        <f t="shared" si="43"/>
        <v>-98.617975060698427</v>
      </c>
      <c r="AF79" s="461">
        <f t="shared" si="50"/>
        <v>0.95517364769968249</v>
      </c>
      <c r="AG79" s="615"/>
    </row>
    <row r="80" spans="1:33">
      <c r="D80" s="25"/>
      <c r="E80" s="25"/>
    </row>
  </sheetData>
  <mergeCells count="204">
    <mergeCell ref="AG71:AG79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C76:D76"/>
    <mergeCell ref="A71:A79"/>
    <mergeCell ref="C71:D71"/>
    <mergeCell ref="R71:R79"/>
    <mergeCell ref="AA71:AB71"/>
    <mergeCell ref="AA76:AB76"/>
    <mergeCell ref="C77:D77"/>
    <mergeCell ref="AA77:AB77"/>
    <mergeCell ref="A66:A70"/>
    <mergeCell ref="C66:D66"/>
    <mergeCell ref="R66:R70"/>
    <mergeCell ref="AA66:AB66"/>
    <mergeCell ref="C78:D78"/>
    <mergeCell ref="AA78:AB78"/>
    <mergeCell ref="C79:D79"/>
    <mergeCell ref="AA79:AB79"/>
    <mergeCell ref="AG66:AG70"/>
    <mergeCell ref="C67:D67"/>
    <mergeCell ref="AA67:AB67"/>
    <mergeCell ref="C68:D68"/>
    <mergeCell ref="AA68:AB68"/>
    <mergeCell ref="C69:D69"/>
    <mergeCell ref="AA62:AB62"/>
    <mergeCell ref="C63:D63"/>
    <mergeCell ref="AA63:AB63"/>
    <mergeCell ref="C64:D64"/>
    <mergeCell ref="AA64:AB64"/>
    <mergeCell ref="C65:D65"/>
    <mergeCell ref="AA65:AB65"/>
    <mergeCell ref="AA69:AB69"/>
    <mergeCell ref="C70:D70"/>
    <mergeCell ref="AA70:AB70"/>
    <mergeCell ref="A58:A65"/>
    <mergeCell ref="C58:D58"/>
    <mergeCell ref="R58:R65"/>
    <mergeCell ref="AA58:AB58"/>
    <mergeCell ref="AG58:AG65"/>
    <mergeCell ref="C59:D59"/>
    <mergeCell ref="AA59:AB59"/>
    <mergeCell ref="C60:D60"/>
    <mergeCell ref="AA60:AB60"/>
    <mergeCell ref="AA61:AB61"/>
    <mergeCell ref="A52:A57"/>
    <mergeCell ref="C52:D52"/>
    <mergeCell ref="R52:R57"/>
    <mergeCell ref="AA52:AB52"/>
    <mergeCell ref="AA57:AB57"/>
    <mergeCell ref="AG52:AG57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57:D57"/>
    <mergeCell ref="AG42:AG51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A49:AB49"/>
    <mergeCell ref="C50:D50"/>
    <mergeCell ref="C51:D51"/>
    <mergeCell ref="AA51:AB51"/>
    <mergeCell ref="A33:A41"/>
    <mergeCell ref="C33:D33"/>
    <mergeCell ref="R33:R41"/>
    <mergeCell ref="AA33:AB33"/>
    <mergeCell ref="C41:D41"/>
    <mergeCell ref="AA41:AB41"/>
    <mergeCell ref="A42:A51"/>
    <mergeCell ref="C42:D42"/>
    <mergeCell ref="R42:R51"/>
    <mergeCell ref="AA42:AB42"/>
    <mergeCell ref="AA47:AB47"/>
    <mergeCell ref="C48:D48"/>
    <mergeCell ref="AA48:AB48"/>
    <mergeCell ref="C49:D49"/>
    <mergeCell ref="AG33:AG41"/>
    <mergeCell ref="C34:D34"/>
    <mergeCell ref="AA34:AB34"/>
    <mergeCell ref="C35:D35"/>
    <mergeCell ref="AA35:AB35"/>
    <mergeCell ref="C36:D36"/>
    <mergeCell ref="AA29:AB29"/>
    <mergeCell ref="C30:D30"/>
    <mergeCell ref="AA30:AB30"/>
    <mergeCell ref="C31:D31"/>
    <mergeCell ref="AA31:AB31"/>
    <mergeCell ref="C32:D32"/>
    <mergeCell ref="AA32:AB32"/>
    <mergeCell ref="AA36:AB36"/>
    <mergeCell ref="C37:D37"/>
    <mergeCell ref="AA37:AB37"/>
    <mergeCell ref="C38:D38"/>
    <mergeCell ref="AA38:AB38"/>
    <mergeCell ref="C39:D39"/>
    <mergeCell ref="AA39:AB39"/>
    <mergeCell ref="A9:A17"/>
    <mergeCell ref="C9:D9"/>
    <mergeCell ref="R9:R17"/>
    <mergeCell ref="AA9:AB9"/>
    <mergeCell ref="AA14:AB14"/>
    <mergeCell ref="C15:D15"/>
    <mergeCell ref="AG9:AG17"/>
    <mergeCell ref="A26:A32"/>
    <mergeCell ref="C26:D26"/>
    <mergeCell ref="R26:R32"/>
    <mergeCell ref="AA26:AB26"/>
    <mergeCell ref="AG26:AG32"/>
    <mergeCell ref="C27:D27"/>
    <mergeCell ref="AA27:AB27"/>
    <mergeCell ref="C28:D28"/>
    <mergeCell ref="AA28:AB28"/>
    <mergeCell ref="C29:D29"/>
    <mergeCell ref="A18:A25"/>
    <mergeCell ref="C18:D18"/>
    <mergeCell ref="R18:R25"/>
    <mergeCell ref="AA18:AB18"/>
    <mergeCell ref="AA25:AB25"/>
    <mergeCell ref="AG18:AG25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5:D25"/>
    <mergeCell ref="AA15:AB15"/>
    <mergeCell ref="C16:D16"/>
    <mergeCell ref="AA16:AB16"/>
    <mergeCell ref="C17:D17"/>
    <mergeCell ref="AA17:AB17"/>
    <mergeCell ref="R5:R8"/>
    <mergeCell ref="AA5:AB5"/>
    <mergeCell ref="AG5:AG8"/>
    <mergeCell ref="C6:D6"/>
    <mergeCell ref="AA6:AB6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C5:D5"/>
    <mergeCell ref="H3:H4"/>
    <mergeCell ref="I3:I4"/>
    <mergeCell ref="C7:D7"/>
    <mergeCell ref="AA7:AB7"/>
    <mergeCell ref="C8:D8"/>
    <mergeCell ref="AA8:AB8"/>
    <mergeCell ref="A3:A4"/>
    <mergeCell ref="B3:B4"/>
    <mergeCell ref="C3:D4"/>
    <mergeCell ref="E3:E4"/>
    <mergeCell ref="F3:F4"/>
    <mergeCell ref="G3:G4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A5:A8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C3:AD3"/>
  </mergeCells>
  <phoneticPr fontId="3" type="noConversion"/>
  <conditionalFormatting sqref="O69:O76 O65:O66 O79 O5:O9 O17:O19 O25:O63">
    <cfRule type="cellIs" dxfId="1554" priority="62" operator="greaterThan">
      <formula>0</formula>
    </cfRule>
  </conditionalFormatting>
  <conditionalFormatting sqref="P5:P7 P69 AE69 P71:P76 P33:P40 P66 P9 P17:P19 P26:P31 P58:P63 P42:P56 AE5:AE66 AE71:AE79">
    <cfRule type="cellIs" dxfId="1553" priority="66" operator="lessThan">
      <formula>0</formula>
    </cfRule>
  </conditionalFormatting>
  <conditionalFormatting sqref="AF69 Q69:Q76 Q65:Q66 Q79 Q5:Q9 Q17:Q19 Q25:Q63 AF5:AF66 AF71:AF79">
    <cfRule type="cellIs" dxfId="1552" priority="63" operator="greaterThan">
      <formula>1</formula>
    </cfRule>
    <cfRule type="cellIs" dxfId="1551" priority="64" operator="lessThan">
      <formula>0.8</formula>
    </cfRule>
  </conditionalFormatting>
  <conditionalFormatting sqref="AG18:AG19 R18:R19 AG69 R69:R76 R25:R49 AG25:AG49 AG65:AG66 R65:R66 R79 AG5:AG9 R5:R9 AG51:AG63 R51:R63">
    <cfRule type="cellIs" dxfId="1550" priority="68" operator="lessThan">
      <formula>0.8</formula>
    </cfRule>
  </conditionalFormatting>
  <conditionalFormatting sqref="AG52">
    <cfRule type="cellIs" dxfId="1549" priority="70" operator="lessThan">
      <formula>0.8</formula>
    </cfRule>
  </conditionalFormatting>
  <conditionalFormatting sqref="AG26:AG31">
    <cfRule type="cellIs" dxfId="1548" priority="67" operator="lessThan">
      <formula>0.8</formula>
    </cfRule>
  </conditionalFormatting>
  <conditionalFormatting sqref="AG33">
    <cfRule type="cellIs" dxfId="1547" priority="69" operator="lessThan">
      <formula>0.8</formula>
    </cfRule>
  </conditionalFormatting>
  <conditionalFormatting sqref="AG42:AG49">
    <cfRule type="cellIs" dxfId="1546" priority="65" operator="lessThan">
      <formula>0.8</formula>
    </cfRule>
  </conditionalFormatting>
  <conditionalFormatting sqref="AE70">
    <cfRule type="cellIs" dxfId="1545" priority="61" operator="lessThan">
      <formula>0</formula>
    </cfRule>
  </conditionalFormatting>
  <conditionalFormatting sqref="AF70">
    <cfRule type="cellIs" dxfId="1544" priority="59" operator="greaterThan">
      <formula>1</formula>
    </cfRule>
    <cfRule type="cellIs" dxfId="1543" priority="60" operator="lessThan">
      <formula>0.8</formula>
    </cfRule>
  </conditionalFormatting>
  <conditionalFormatting sqref="O20:O21">
    <cfRule type="cellIs" dxfId="1542" priority="54" operator="greaterThan">
      <formula>0</formula>
    </cfRule>
  </conditionalFormatting>
  <conditionalFormatting sqref="P20:P21">
    <cfRule type="cellIs" dxfId="1541" priority="57" operator="lessThan">
      <formula>0</formula>
    </cfRule>
  </conditionalFormatting>
  <conditionalFormatting sqref="Q20:Q21">
    <cfRule type="cellIs" dxfId="1540" priority="55" operator="greaterThan">
      <formula>1</formula>
    </cfRule>
    <cfRule type="cellIs" dxfId="1539" priority="56" operator="lessThan">
      <formula>0.8</formula>
    </cfRule>
  </conditionalFormatting>
  <conditionalFormatting sqref="R20:R21 AG20:AG21">
    <cfRule type="cellIs" dxfId="1538" priority="58" operator="lessThan">
      <formula>0.8</formula>
    </cfRule>
  </conditionalFormatting>
  <conditionalFormatting sqref="O10:O14">
    <cfRule type="cellIs" dxfId="1537" priority="50" operator="greaterThan">
      <formula>0</formula>
    </cfRule>
  </conditionalFormatting>
  <conditionalFormatting sqref="P10:P14">
    <cfRule type="cellIs" dxfId="1536" priority="53" operator="lessThan">
      <formula>0</formula>
    </cfRule>
  </conditionalFormatting>
  <conditionalFormatting sqref="Q10:Q14">
    <cfRule type="cellIs" dxfId="1535" priority="51" operator="greaterThan">
      <formula>1</formula>
    </cfRule>
    <cfRule type="cellIs" dxfId="1534" priority="52" operator="lessThan">
      <formula>0.8</formula>
    </cfRule>
  </conditionalFormatting>
  <conditionalFormatting sqref="O64">
    <cfRule type="cellIs" dxfId="1533" priority="45" operator="greaterThan">
      <formula>0</formula>
    </cfRule>
  </conditionalFormatting>
  <conditionalFormatting sqref="P64">
    <cfRule type="cellIs" dxfId="1532" priority="48" operator="lessThan">
      <formula>0</formula>
    </cfRule>
  </conditionalFormatting>
  <conditionalFormatting sqref="Q64">
    <cfRule type="cellIs" dxfId="1531" priority="46" operator="greaterThan">
      <formula>1</formula>
    </cfRule>
    <cfRule type="cellIs" dxfId="1530" priority="47" operator="lessThan">
      <formula>0.8</formula>
    </cfRule>
  </conditionalFormatting>
  <conditionalFormatting sqref="R64 AG64">
    <cfRule type="cellIs" dxfId="1529" priority="49" operator="lessThan">
      <formula>0.8</formula>
    </cfRule>
  </conditionalFormatting>
  <conditionalFormatting sqref="R50 AG50">
    <cfRule type="cellIs" dxfId="1528" priority="44" operator="lessThan">
      <formula>0.8</formula>
    </cfRule>
  </conditionalFormatting>
  <conditionalFormatting sqref="AG50">
    <cfRule type="cellIs" dxfId="1527" priority="43" operator="lessThan">
      <formula>0.8</formula>
    </cfRule>
  </conditionalFormatting>
  <conditionalFormatting sqref="O68">
    <cfRule type="cellIs" dxfId="1526" priority="38" operator="greaterThan">
      <formula>0</formula>
    </cfRule>
  </conditionalFormatting>
  <conditionalFormatting sqref="P68 AE68">
    <cfRule type="cellIs" dxfId="1525" priority="41" operator="lessThan">
      <formula>0</formula>
    </cfRule>
  </conditionalFormatting>
  <conditionalFormatting sqref="Q68 AF68">
    <cfRule type="cellIs" dxfId="1524" priority="39" operator="greaterThan">
      <formula>1</formula>
    </cfRule>
    <cfRule type="cellIs" dxfId="1523" priority="40" operator="lessThan">
      <formula>0.8</formula>
    </cfRule>
  </conditionalFormatting>
  <conditionalFormatting sqref="R68 AG68">
    <cfRule type="cellIs" dxfId="1522" priority="42" operator="lessThan">
      <formula>0.8</formula>
    </cfRule>
  </conditionalFormatting>
  <conditionalFormatting sqref="O77">
    <cfRule type="cellIs" dxfId="1521" priority="33" operator="greaterThan">
      <formula>0</formula>
    </cfRule>
  </conditionalFormatting>
  <conditionalFormatting sqref="P77">
    <cfRule type="cellIs" dxfId="1520" priority="36" operator="lessThan">
      <formula>0</formula>
    </cfRule>
  </conditionalFormatting>
  <conditionalFormatting sqref="Q77">
    <cfRule type="cellIs" dxfId="1519" priority="34" operator="greaterThan">
      <formula>1</formula>
    </cfRule>
    <cfRule type="cellIs" dxfId="1518" priority="35" operator="lessThan">
      <formula>0.8</formula>
    </cfRule>
  </conditionalFormatting>
  <conditionalFormatting sqref="R77">
    <cfRule type="cellIs" dxfId="1517" priority="37" operator="lessThan">
      <formula>0.8</formula>
    </cfRule>
  </conditionalFormatting>
  <conditionalFormatting sqref="O22:O23">
    <cfRule type="cellIs" dxfId="1516" priority="28" operator="greaterThan">
      <formula>0</formula>
    </cfRule>
  </conditionalFormatting>
  <conditionalFormatting sqref="P22:P23">
    <cfRule type="cellIs" dxfId="1515" priority="31" operator="lessThan">
      <formula>0</formula>
    </cfRule>
  </conditionalFormatting>
  <conditionalFormatting sqref="Q22:Q23">
    <cfRule type="cellIs" dxfId="1514" priority="29" operator="greaterThan">
      <formula>1</formula>
    </cfRule>
    <cfRule type="cellIs" dxfId="1513" priority="30" operator="lessThan">
      <formula>0.8</formula>
    </cfRule>
  </conditionalFormatting>
  <conditionalFormatting sqref="R22:R23 AG22:AG23">
    <cfRule type="cellIs" dxfId="1512" priority="32" operator="lessThan">
      <formula>0.8</formula>
    </cfRule>
  </conditionalFormatting>
  <conditionalFormatting sqref="O67">
    <cfRule type="cellIs" dxfId="1511" priority="23" operator="greaterThan">
      <formula>0</formula>
    </cfRule>
  </conditionalFormatting>
  <conditionalFormatting sqref="P67 AE67">
    <cfRule type="cellIs" dxfId="1510" priority="26" operator="lessThan">
      <formula>0</formula>
    </cfRule>
  </conditionalFormatting>
  <conditionalFormatting sqref="Q67 AF67">
    <cfRule type="cellIs" dxfId="1509" priority="24" operator="greaterThan">
      <formula>1</formula>
    </cfRule>
    <cfRule type="cellIs" dxfId="1508" priority="25" operator="lessThan">
      <formula>0.8</formula>
    </cfRule>
  </conditionalFormatting>
  <conditionalFormatting sqref="R67 AG67">
    <cfRule type="cellIs" dxfId="1507" priority="27" operator="lessThan">
      <formula>0.8</formula>
    </cfRule>
  </conditionalFormatting>
  <conditionalFormatting sqref="O24">
    <cfRule type="cellIs" dxfId="1506" priority="18" operator="greaterThan">
      <formula>0</formula>
    </cfRule>
  </conditionalFormatting>
  <conditionalFormatting sqref="P24">
    <cfRule type="cellIs" dxfId="1505" priority="21" operator="lessThan">
      <formula>0</formula>
    </cfRule>
  </conditionalFormatting>
  <conditionalFormatting sqref="Q24">
    <cfRule type="cellIs" dxfId="1504" priority="19" operator="greaterThan">
      <formula>1</formula>
    </cfRule>
    <cfRule type="cellIs" dxfId="1503" priority="20" operator="lessThan">
      <formula>0.8</formula>
    </cfRule>
  </conditionalFormatting>
  <conditionalFormatting sqref="AG24 R24">
    <cfRule type="cellIs" dxfId="1502" priority="22" operator="lessThan">
      <formula>0.8</formula>
    </cfRule>
  </conditionalFormatting>
  <conditionalFormatting sqref="O15:O16">
    <cfRule type="cellIs" dxfId="1501" priority="15" operator="greaterThan">
      <formula>0</formula>
    </cfRule>
  </conditionalFormatting>
  <conditionalFormatting sqref="Q15:Q16">
    <cfRule type="cellIs" dxfId="1500" priority="16" operator="greaterThan">
      <formula>1</formula>
    </cfRule>
    <cfRule type="cellIs" dxfId="1499" priority="17" operator="lessThan">
      <formula>0.8</formula>
    </cfRule>
  </conditionalFormatting>
  <conditionalFormatting sqref="P8">
    <cfRule type="cellIs" dxfId="1498" priority="14" operator="lessThan">
      <formula>0</formula>
    </cfRule>
  </conditionalFormatting>
  <conditionalFormatting sqref="P15:P16">
    <cfRule type="cellIs" dxfId="1497" priority="13" operator="lessThan">
      <formula>0</formula>
    </cfRule>
  </conditionalFormatting>
  <conditionalFormatting sqref="P25">
    <cfRule type="cellIs" dxfId="1496" priority="12" operator="lessThan">
      <formula>0</formula>
    </cfRule>
  </conditionalFormatting>
  <conditionalFormatting sqref="P32">
    <cfRule type="cellIs" dxfId="1495" priority="11" operator="lessThan">
      <formula>0</formula>
    </cfRule>
  </conditionalFormatting>
  <conditionalFormatting sqref="P41">
    <cfRule type="cellIs" dxfId="1494" priority="10" operator="lessThan">
      <formula>0</formula>
    </cfRule>
  </conditionalFormatting>
  <conditionalFormatting sqref="P57">
    <cfRule type="cellIs" dxfId="1493" priority="9" operator="lessThan">
      <formula>0</formula>
    </cfRule>
  </conditionalFormatting>
  <conditionalFormatting sqref="P65">
    <cfRule type="cellIs" dxfId="1492" priority="8" operator="lessThan">
      <formula>0</formula>
    </cfRule>
  </conditionalFormatting>
  <conditionalFormatting sqref="P70">
    <cfRule type="cellIs" dxfId="1491" priority="7" operator="lessThan">
      <formula>0</formula>
    </cfRule>
  </conditionalFormatting>
  <conditionalFormatting sqref="P79">
    <cfRule type="cellIs" dxfId="1490" priority="6" operator="lessThan">
      <formula>0</formula>
    </cfRule>
  </conditionalFormatting>
  <conditionalFormatting sqref="O78">
    <cfRule type="cellIs" dxfId="1489" priority="1" operator="greaterThan">
      <formula>0</formula>
    </cfRule>
  </conditionalFormatting>
  <conditionalFormatting sqref="P78">
    <cfRule type="cellIs" dxfId="1488" priority="4" operator="lessThan">
      <formula>0</formula>
    </cfRule>
  </conditionalFormatting>
  <conditionalFormatting sqref="Q78">
    <cfRule type="cellIs" dxfId="1487" priority="2" operator="greaterThan">
      <formula>1</formula>
    </cfRule>
    <cfRule type="cellIs" dxfId="1486" priority="3" operator="lessThan">
      <formula>0.8</formula>
    </cfRule>
  </conditionalFormatting>
  <conditionalFormatting sqref="R78">
    <cfRule type="cellIs" dxfId="1485" priority="5" operator="lessThan">
      <formula>0.8</formula>
    </cfRule>
  </conditionalFormatting>
  <dataValidations count="1">
    <dataValidation type="list" allowBlank="1" showInputMessage="1" showErrorMessage="1" sqref="AB8 AA5:AB7 AA8:AA69 AB10:AB66 AA70:AB7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5" sqref="I5:J5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1999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89</v>
      </c>
      <c r="C3" s="601" t="str">
        <f>TEXT('0623 4度C'!A2,"yyyy.mm.ddaaaa")</f>
        <v>2026.06.23星期二</v>
      </c>
      <c r="D3" s="602"/>
      <c r="E3" s="39" t="s">
        <v>2000</v>
      </c>
      <c r="F3" s="603">
        <f>'0623 4度C'!D1</f>
        <v>198069</v>
      </c>
      <c r="G3" s="604"/>
      <c r="H3" s="39" t="s">
        <v>91</v>
      </c>
      <c r="I3" s="605">
        <f>'0623 4度C'!F1</f>
        <v>6774038.879999999</v>
      </c>
      <c r="J3" s="606"/>
      <c r="K3" s="40"/>
      <c r="L3" s="41"/>
      <c r="M3" s="42"/>
      <c r="N3" s="42"/>
    </row>
    <row r="4" spans="2:17" ht="28.5" customHeight="1">
      <c r="B4" s="607" t="s">
        <v>189</v>
      </c>
      <c r="C4" s="593" t="s">
        <v>2001</v>
      </c>
      <c r="D4" s="594"/>
      <c r="E4" s="610" t="s">
        <v>191</v>
      </c>
      <c r="F4" s="611"/>
      <c r="G4" s="610" t="s">
        <v>2002</v>
      </c>
      <c r="H4" s="611"/>
      <c r="I4" s="610" t="s">
        <v>2003</v>
      </c>
      <c r="J4" s="611"/>
      <c r="K4" s="591" t="s">
        <v>2004</v>
      </c>
      <c r="L4" s="592"/>
      <c r="M4" s="592" t="s">
        <v>2005</v>
      </c>
      <c r="N4" s="592"/>
    </row>
    <row r="5" spans="2:17" ht="28.5" customHeight="1">
      <c r="B5" s="608"/>
      <c r="C5" s="593" t="s">
        <v>2006</v>
      </c>
      <c r="D5" s="594"/>
      <c r="E5" s="593" t="s">
        <v>196</v>
      </c>
      <c r="F5" s="594"/>
      <c r="G5" s="595" t="s">
        <v>197</v>
      </c>
      <c r="H5" s="596"/>
      <c r="I5" s="597" t="s">
        <v>101</v>
      </c>
      <c r="J5" s="598"/>
      <c r="K5" s="43" t="s">
        <v>2007</v>
      </c>
      <c r="L5" s="44" t="s">
        <v>2008</v>
      </c>
      <c r="M5" s="43" t="s">
        <v>2007</v>
      </c>
      <c r="N5" s="44" t="s">
        <v>2009</v>
      </c>
    </row>
    <row r="6" spans="2:17" ht="28.5" customHeight="1">
      <c r="B6" s="608"/>
      <c r="C6" s="593" t="s">
        <v>58</v>
      </c>
      <c r="D6" s="594"/>
      <c r="E6" s="585">
        <f>AVERAGE(D13:M13)</f>
        <v>153.70562440081903</v>
      </c>
      <c r="F6" s="586">
        <f>AVERAGE(D31:O31,D13:J13)</f>
        <v>159.9441359368337</v>
      </c>
      <c r="G6" s="587">
        <f>AVERAGE(D13:J13)</f>
        <v>159.9441359368337</v>
      </c>
      <c r="H6" s="588"/>
      <c r="I6" s="587">
        <f>AVERAGE(K13:M13)</f>
        <v>139.14909748345144</v>
      </c>
      <c r="J6" s="588"/>
      <c r="K6" s="589">
        <f>'0623 4度C'!Y2</f>
        <v>0</v>
      </c>
      <c r="L6" s="574">
        <f>'0623 4度C'!Z2</f>
        <v>0</v>
      </c>
      <c r="M6" s="590">
        <f>'0623 4度C'!AC2</f>
        <v>59</v>
      </c>
      <c r="N6" s="574">
        <f>'0623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147.06738367025699</v>
      </c>
      <c r="F7" s="578">
        <f>AVERAGE(D32:O32,D14:J14)</f>
        <v>153.12428822669014</v>
      </c>
      <c r="G7" s="579">
        <f>AVERAGE(D14:J14)</f>
        <v>153.12428822669014</v>
      </c>
      <c r="H7" s="580"/>
      <c r="I7" s="579">
        <f>AVERAGE(K14:M14)</f>
        <v>132.93460637191291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0.95655073486911157</v>
      </c>
      <c r="F8" s="582">
        <f>AVERAGE(D15:J15,D33:O33)</f>
        <v>0.95703419851823246</v>
      </c>
      <c r="G8" s="583">
        <f>AVERAGE(D15:J15)</f>
        <v>0.95703419851823246</v>
      </c>
      <c r="H8" s="584"/>
      <c r="I8" s="583">
        <f>AVERAGE(K15:M15)</f>
        <v>0.95542265302116247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2010</v>
      </c>
      <c r="N9" s="42"/>
      <c r="O9" s="42"/>
      <c r="P9" s="42"/>
      <c r="Q9" s="42"/>
    </row>
    <row r="10" spans="2:17" ht="30" customHeight="1">
      <c r="B10" s="557" t="s">
        <v>2011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2012</v>
      </c>
      <c r="L10" s="563"/>
      <c r="M10" s="564"/>
      <c r="P10" s="48"/>
      <c r="Q10" s="48"/>
    </row>
    <row r="11" spans="2:17" ht="17.25" customHeight="1">
      <c r="B11" s="565" t="s">
        <v>2013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2014</v>
      </c>
      <c r="C13" s="55" t="s">
        <v>2015</v>
      </c>
      <c r="D13" s="56">
        <f>SUMIFS('0623 4度C'!$K:$K,'0623 4度C'!$A:$A,"新豐6線",'0623 4度C'!$B:$B,"平均")</f>
        <v>130.43478260869566</v>
      </c>
      <c r="E13" s="57">
        <f>SUMIFS('0623 4度C'!$K:$K,'0623 4度C'!$A:$A,"新豐2線",'0623 4度C'!$B:$B,"平均")</f>
        <v>86.206896551724142</v>
      </c>
      <c r="F13" s="58">
        <f>SUMIFS('0623 4度C'!$K:$K,'0623 4度C'!$A:$A,"新豐5線",'0623 4度C'!$B:$B,"平均")</f>
        <v>87.786259541984734</v>
      </c>
      <c r="G13" s="58">
        <f>SUMIFS('0623 4度C'!$K:$K,'0623 4度C'!$A:$A,"新豐7線",'0623 4度C'!$B:$B,"平均")</f>
        <v>115.38461538461539</v>
      </c>
      <c r="H13" s="58">
        <f>SUMIFS('0623 4度C'!$K:$K,'0623 4度C'!$A:$A,"新豐3線",'0623 4度C'!$B:$B,"平均")</f>
        <v>255.81395348837211</v>
      </c>
      <c r="I13" s="58">
        <f>SUMIFS('0623 4度C'!$K:$K,'0623 4度C'!$A:$A,"新豐1線",'0623 4度C'!$B:$B,"平均")</f>
        <v>119.65811965811965</v>
      </c>
      <c r="J13" s="59">
        <f>SUMIFS('0623 4度C'!$K:$K,'0623 4度C'!$A:$A,"新豐10線",'0623 4度C'!$B:$B,"平均")</f>
        <v>324.32432432432432</v>
      </c>
      <c r="K13" s="60">
        <f>SUMIFS('0623 4度C'!$K:$K,'0623 4度C'!$A:$A,"新豐8線",'0623 4度C'!$B:$B,"平均")</f>
        <v>135.21126760563379</v>
      </c>
      <c r="L13" s="61">
        <f>SUMIFS('0623 4度C'!$K:$K,'0623 4度C'!$A:$A,"新豐9線",'0623 4度C'!$B:$B,"平均")</f>
        <v>125.71428571428571</v>
      </c>
      <c r="M13" s="59">
        <f>SUMIFS('0623 4度C'!$K:$K,'0623 4度C'!$A:$A,"新豐4線",'0623 4度C'!$B:$B,"平均")</f>
        <v>156.52173913043478</v>
      </c>
    </row>
    <row r="14" spans="2:17" ht="39.6" customHeight="1">
      <c r="B14" s="570"/>
      <c r="C14" s="62" t="s">
        <v>206</v>
      </c>
      <c r="D14" s="63">
        <f>SUMIFS('0623 4度C'!$N:$N,'0623 4度C'!$A:$A,"新豐6線",'0623 4度C'!$B:$B,"平均")</f>
        <v>125.2104702750665</v>
      </c>
      <c r="E14" s="64">
        <f>SUMIFS('0623 4度C'!$N:$N,'0623 4度C'!$A:$A,"新豐2線",'0623 4度C'!$B:$B,"平均")</f>
        <v>82.225197715782159</v>
      </c>
      <c r="F14" s="64">
        <f>SUMIFS('0623 4度C'!$N:$N,'0623 4度C'!$A:$A,"新豐5線",'0623 4度C'!$B:$B,"平均")</f>
        <v>84.155798709691766</v>
      </c>
      <c r="G14" s="64">
        <f>SUMIFS('0623 4度C'!$N:$N,'0623 4度C'!$A:$A,"新豐7線",'0623 4度C'!$B:$B,"平均")</f>
        <v>110.11642675835598</v>
      </c>
      <c r="H14" s="64">
        <f>SUMIFS('0623 4度C'!$N:$N,'0623 4度C'!$A:$A,"新豐3線",'0623 4度C'!$B:$B,"平均")</f>
        <v>243.85357368437013</v>
      </c>
      <c r="I14" s="64">
        <f>SUMIFS('0623 4度C'!$N:$N,'0623 4度C'!$A:$A,"新豐1線",'0623 4度C'!$B:$B,"平均")</f>
        <v>114.67921276573509</v>
      </c>
      <c r="J14" s="65">
        <f>SUMIFS('0623 4度C'!$N:$N,'0623 4度C'!$A:$A,"新豐10線",'0623 4度C'!$B:$B,"平均")</f>
        <v>311.62933767782926</v>
      </c>
      <c r="K14" s="66">
        <f>SUMIFS('0623 4度C'!$N:$N,'0623 4度C'!$A:$A,"新豐8線",'0623 4度C'!$B:$B,"平均")</f>
        <v>129.29249305489157</v>
      </c>
      <c r="L14" s="67">
        <f>SUMIFS('0623 4度C'!$N:$N,'0623 4度C'!$A:$A,"新豐9線",'0623 4度C'!$B:$B,"平均")</f>
        <v>120.18236745271625</v>
      </c>
      <c r="M14" s="65">
        <f>SUMIFS('0623 4度C'!$N:$N,'0623 4度C'!$A:$A,"新豐4線",'0623 4度C'!$B:$B,"平均")</f>
        <v>149.32895860813088</v>
      </c>
    </row>
    <row r="15" spans="2:17" ht="40.15" customHeight="1">
      <c r="B15" s="571"/>
      <c r="C15" s="68" t="s">
        <v>2016</v>
      </c>
      <c r="D15" s="69">
        <f t="shared" ref="D15:M15" si="0">D14/D13</f>
        <v>0.95994693877550974</v>
      </c>
      <c r="E15" s="70">
        <f t="shared" si="0"/>
        <v>0.95381229350307295</v>
      </c>
      <c r="F15" s="70">
        <f t="shared" si="0"/>
        <v>0.95864431573648878</v>
      </c>
      <c r="G15" s="70">
        <f t="shared" si="0"/>
        <v>0.95434236523908522</v>
      </c>
      <c r="H15" s="70">
        <f t="shared" si="0"/>
        <v>0.95324578803890136</v>
      </c>
      <c r="I15" s="70">
        <f t="shared" si="0"/>
        <v>0.95839056382792909</v>
      </c>
      <c r="J15" s="71">
        <f t="shared" si="0"/>
        <v>0.96085712450664018</v>
      </c>
      <c r="K15" s="69">
        <f t="shared" si="0"/>
        <v>0.95622572988513566</v>
      </c>
      <c r="L15" s="70">
        <f t="shared" si="0"/>
        <v>0.95599610473751562</v>
      </c>
      <c r="M15" s="71">
        <f t="shared" si="0"/>
        <v>0.95404612444083614</v>
      </c>
    </row>
    <row r="16" spans="2:17" ht="17.25" customHeight="1">
      <c r="B16" s="572" t="s">
        <v>2017</v>
      </c>
      <c r="C16" s="72" t="s">
        <v>114</v>
      </c>
      <c r="D16" s="73">
        <f>VLOOKUP("新豐6線",'0623 4度C'!$A:$T,19,0)</f>
        <v>0.70833333333333337</v>
      </c>
      <c r="E16" s="74">
        <f>VLOOKUP("新豐2線",'0623 4度C'!$A:$T,19,0)</f>
        <v>8.3333333333333329E-2</v>
      </c>
      <c r="F16" s="74">
        <f>VLOOKUP("新豐5線",'0623 4度C'!$A:$T,19,0)</f>
        <v>8.3333333333333329E-2</v>
      </c>
      <c r="G16" s="74">
        <f>VLOOKUP("新豐7線",'0623 4度C'!$A:$T,19,0)</f>
        <v>0.20833333333333334</v>
      </c>
      <c r="H16" s="74">
        <f>VLOOKUP("新豐3線",'0623 4度C'!$A:$T,19,0)</f>
        <v>8.3333333333333329E-2</v>
      </c>
      <c r="I16" s="74">
        <f>VLOOKUP("新豐1線",'0623 4度C'!$A:$T,19,0)</f>
        <v>0.16666666666666666</v>
      </c>
      <c r="J16" s="75">
        <f>VLOOKUP("新豐10線",'0623 4度C'!$A:$T,19,0)</f>
        <v>0.20833333333333334</v>
      </c>
      <c r="K16" s="76">
        <f>VLOOKUP("新豐8線",'0623 4度C'!$A:$T,19,0)</f>
        <v>8.3333333333333329E-2</v>
      </c>
      <c r="L16" s="77">
        <f>VLOOKUP("新豐9線",'0623 4度C'!$A:$T,19,0)</f>
        <v>8.3333333333333329E-2</v>
      </c>
      <c r="M16" s="78">
        <f>VLOOKUP("新豐4線",'0623 4度C'!$A:$T,19,0)</f>
        <v>8.3333333333333329E-2</v>
      </c>
    </row>
    <row r="17" spans="2:13" ht="17.25" customHeight="1">
      <c r="B17" s="573"/>
      <c r="C17" s="72" t="s">
        <v>2018</v>
      </c>
      <c r="D17" s="76">
        <f>LOOKUP(2,1/(('0623 4度C'!$A:$A="新豐6線")*('0623 4度C'!$T:$T&lt;&gt;"")),'0623 4度C'!$T:$T)</f>
        <v>0.8534722222222223</v>
      </c>
      <c r="E17" s="74">
        <f>LOOKUP(2,1/(('0623 4度C'!$A:$A="新豐2線")*('0623 4度C'!$T:$T&lt;&gt;"")),'0623 4度C'!$T:$T)</f>
        <v>0.69513888888888886</v>
      </c>
      <c r="F17" s="74">
        <f>LOOKUP(2,1/(('0623 4度C'!$A:$A="新豐5線")*('0623 4度C'!$T:$T&lt;&gt;"")),'0623 4度C'!$T:$T)</f>
        <v>0.8125</v>
      </c>
      <c r="G17" s="74">
        <f>LOOKUP(2,1/(('0623 4度C'!$A:$A="新豐7線")*('0623 4度C'!$T:$T&lt;&gt;"")),'0623 4度C'!$T:$T)</f>
        <v>0.82847222222222217</v>
      </c>
      <c r="H17" s="74">
        <f>LOOKUP(2,1/(('0623 4度C'!$A:$A="新豐3線")*('0623 4度C'!$T:$T&lt;&gt;"")),'0623 4度C'!$T:$T)</f>
        <v>0.40208333333333329</v>
      </c>
      <c r="I17" s="74">
        <f>LOOKUP(2,1/(('0623 4度C'!$A:$A="新豐1線")*('0623 4度C'!$T:$T&lt;&gt;"")),'0623 4度C'!$T:$T)</f>
        <v>0.85069444444444442</v>
      </c>
      <c r="J17" s="75">
        <f>LOOKUP(2,1/(('0623 4度C'!$A:$A="新豐10線")*('0623 4度C'!$T:$T&lt;&gt;"")),'0623 4度C'!$T:$T)</f>
        <v>0.38819444444444445</v>
      </c>
      <c r="K17" s="73">
        <f>LOOKUP(2,1/(('0623 4度C'!$A:$A="新豐8線")*('0623 4度C'!$T:$T&lt;&gt;"")),'0623 4度C'!$T:$T)</f>
        <v>0.78055555555555522</v>
      </c>
      <c r="L17" s="74">
        <f>LOOKUP(2,1/(('0623 4度C'!$A:$A="新豐9線")*('0623 4度C'!$T:$T&lt;&gt;"")),'0623 4度C'!$T:$T)</f>
        <v>0.78819444444444442</v>
      </c>
      <c r="M17" s="75">
        <f>LOOKUP(2,1/(('0623 4度C'!$A:$A="新豐4線")*('0623 4度C'!$T:$T&lt;&gt;"")),'0623 4度C'!$T:$T)</f>
        <v>0.66249999999999998</v>
      </c>
    </row>
    <row r="18" spans="2:13" ht="17.25" customHeight="1">
      <c r="B18" s="551" t="s">
        <v>2019</v>
      </c>
      <c r="C18" s="79" t="s">
        <v>117</v>
      </c>
      <c r="D18" s="80">
        <f>SUMIFS('0623 4度C'!$Y:$Y,'0623 4度C'!$A:$A,"新豐6線",'0623 4度C'!$B:$B,"平均")</f>
        <v>0</v>
      </c>
      <c r="E18" s="81">
        <f>SUMIFS('0623 4度C'!$Y:$Y,'0623 4度C'!$A:$A,"新豐2線",'0623 4度C'!$B:$B,"平均")</f>
        <v>0</v>
      </c>
      <c r="F18" s="81">
        <f>SUMIFS('0623 4度C'!$Y:$Y,'0623 4度C'!$A:$A,"新豐5線",'0623 4度C'!$B:$B,"平均")</f>
        <v>0</v>
      </c>
      <c r="G18" s="81">
        <f>SUMIFS('0623 4度C'!$Y:$Y,'0623 4度C'!$A:$A,"新豐7線",'0623 4度C'!$B:$B,"平均")</f>
        <v>0</v>
      </c>
      <c r="H18" s="81">
        <f>SUMIFS('0623 4度C'!$Y:$Y,'0623 4度C'!$A:$A,"新豐3線",'0623 4度C'!$B:$B,"平均")</f>
        <v>0</v>
      </c>
      <c r="I18" s="81">
        <f>SUMIFS('0623 4度C'!$Y:$Y,'0623 4度C'!$A:$A,"新豐1線",'0623 4度C'!$B:$B,"平均")</f>
        <v>0</v>
      </c>
      <c r="J18" s="82">
        <f>SUMIFS('0623 4度C'!$Y:$Y,'0623 4度C'!$A:$A,"新豐10線",'0623 4度C'!$B:$B,"平均")</f>
        <v>0</v>
      </c>
      <c r="K18" s="83">
        <f>SUMIFS('0623 4度C'!$Y:$Y,'0623 4度C'!$A:$A,"新豐8線",'0623 4度C'!$B:$B,"平均")</f>
        <v>0</v>
      </c>
      <c r="L18" s="81">
        <f>SUMIFS('0623 4度C'!$Y:$Y,'0623 4度C'!$A:$A,"新豐9線",'0623 4度C'!$B:$B,"平均")</f>
        <v>0</v>
      </c>
      <c r="M18" s="82">
        <f>SUMIFS('0623 4度C'!$Y:$Y,'0623 4度C'!$A:$A,"新豐4線",'0623 4度C'!$B:$B,"平均")</f>
        <v>0</v>
      </c>
    </row>
    <row r="19" spans="2:13" ht="17.25" customHeight="1">
      <c r="B19" s="552"/>
      <c r="C19" s="79" t="s">
        <v>2020</v>
      </c>
      <c r="D19" s="80">
        <f>SUMIFS('0623 4度C'!$Z:$Z,'0623 4度C'!$A:$A,"新豐6線",'0623 4度C'!$B:$B,"平均")</f>
        <v>0</v>
      </c>
      <c r="E19" s="81">
        <f>SUMIFS('0623 4度C'!$Z:$Z,'0623 4度C'!$A:$A,"新豐2線",'0623 4度C'!$B:$B,"平均")</f>
        <v>0</v>
      </c>
      <c r="F19" s="81">
        <f>SUMIFS('0623 4度C'!$Z:$Z,'0623 4度C'!$A:$A,"新豐5線",'0623 4度C'!$B:$B,"平均")</f>
        <v>0</v>
      </c>
      <c r="G19" s="81">
        <f>SUMIFS('0623 4度C'!$Z:$Z,'0623 4度C'!$A:$A,"新豐7線",'0623 4度C'!$B:$B,"平均")</f>
        <v>0</v>
      </c>
      <c r="H19" s="81">
        <f>SUMIFS('0623 4度C'!$Z:$Z,'0623 4度C'!$A:$A,"新豐3線",'0623 4度C'!$B:$B,"平均")</f>
        <v>0</v>
      </c>
      <c r="I19" s="81">
        <f>SUMIFS('0623 4度C'!$Z:$Z,'0623 4度C'!$A:$A,"新豐1線",'0623 4度C'!$B:$B,"平均")</f>
        <v>0</v>
      </c>
      <c r="J19" s="82">
        <f>SUMIFS('0623 4度C'!$Z:$Z,'0623 4度C'!$A:$A,"新豐10線",'0623 4度C'!$B:$B,"平均")</f>
        <v>0</v>
      </c>
      <c r="K19" s="83">
        <f>SUMIFS('0623 4度C'!$Z:$Z,'0623 4度C'!$A:$A,"新豐8線",'0623 4度C'!$B:$B,"平均")</f>
        <v>0</v>
      </c>
      <c r="L19" s="81">
        <f>SUMIFS('0623 4度C'!$Z:$Z,'0623 4度C'!$A:$A,"新豐9線",'0623 4度C'!$B:$B,"平均")</f>
        <v>0</v>
      </c>
      <c r="M19" s="82">
        <f>SUMIFS('0623 4度C'!$Z:$Z,'0623 4度C'!$A:$A,"新豐4線",'0623 4度C'!$B:$B,"平均")</f>
        <v>0</v>
      </c>
    </row>
    <row r="20" spans="2:13" ht="17.25" customHeight="1">
      <c r="B20" s="551" t="s">
        <v>2021</v>
      </c>
      <c r="C20" s="79" t="s">
        <v>2022</v>
      </c>
      <c r="D20" s="80">
        <f>SUMIFS('0623 4度C'!$AC:$AC,'0623 4度C'!$A:$A,"新豐6線",'0623 4度C'!$B:$B,"平均")</f>
        <v>3</v>
      </c>
      <c r="E20" s="81">
        <f>SUMIFS('0623 4度C'!$AC:$AC,'0623 4度C'!$A:$A,"新豐2線",'0623 4度C'!$B:$B,"平均")</f>
        <v>5</v>
      </c>
      <c r="F20" s="81">
        <f>SUMIFS('0623 4度C'!$AC:$AC,'0623 4度C'!$A:$A,"新豐5線",'0623 4度C'!$B:$B,"平均")</f>
        <v>7</v>
      </c>
      <c r="G20" s="81">
        <f>SUMIFS('0623 4度C'!$AC:$AC,'0623 4度C'!$A:$A,"新豐7線",'0623 4度C'!$B:$B,"平均")</f>
        <v>7</v>
      </c>
      <c r="H20" s="81">
        <f>SUMIFS('0623 4度C'!$AC:$AC,'0623 4度C'!$A:$A,"新豐3線",'0623 4度C'!$B:$B,"平均")</f>
        <v>4</v>
      </c>
      <c r="I20" s="81">
        <f>SUMIFS('0623 4度C'!$AC:$AC,'0623 4度C'!$A:$A,"新豐1線",'0623 4度C'!$B:$B,"平均")</f>
        <v>7</v>
      </c>
      <c r="J20" s="82">
        <f>SUMIFS('0623 4度C'!$AC:$AC,'0623 4度C'!$A:$A,"新豐10線",'0623 4度C'!$B:$B,"平均")</f>
        <v>4</v>
      </c>
      <c r="K20" s="83">
        <f>SUMIFS('0623 4度C'!$AC:$AC,'0623 4度C'!$A:$A,"新豐8線",'0623 4度C'!$B:$B,"平均")</f>
        <v>8</v>
      </c>
      <c r="L20" s="81">
        <f>SUMIFS('0623 4度C'!$AC:$AC,'0623 4度C'!$A:$A,"新豐9線",'0623 4度C'!$B:$B,"平均")</f>
        <v>8</v>
      </c>
      <c r="M20" s="82">
        <f>SUMIFS('0623 4度C'!$AC:$AC,'0623 4度C'!$A:$A,"新豐4線",'0623 4度C'!$B:$B,"平均")</f>
        <v>6</v>
      </c>
    </row>
    <row r="21" spans="2:13" ht="17.25" customHeight="1">
      <c r="B21" s="552"/>
      <c r="C21" s="79" t="s">
        <v>2023</v>
      </c>
      <c r="D21" s="80">
        <f>SUMIFS('0623 4度C'!$AD:$AD,'0623 4度C'!$A:$A,"新豐6線",'0623 4度C'!$B:$B,"平均")</f>
        <v>0</v>
      </c>
      <c r="E21" s="81">
        <f>SUMIFS('0623 4度C'!$AD:$AD,'0623 4度C'!$A:$A,"新豐2線",'0623 4度C'!$B:$B,"平均")</f>
        <v>0</v>
      </c>
      <c r="F21" s="81">
        <f>SUMIFS('0623 4度C'!$AD:$AD,'0623 4度C'!$A:$A,"新豐5線",'0623 4度C'!$B:$B,"平均")</f>
        <v>0</v>
      </c>
      <c r="G21" s="81">
        <f>SUMIFS('0623 4度C'!$AD:$AD,'0623 4度C'!$A:$A,"新豐7線",'0623 4度C'!$B:$B,"平均")</f>
        <v>0</v>
      </c>
      <c r="H21" s="81">
        <f>SUMIFS('0623 4度C'!$AD:$AD,'0623 4度C'!$A:$A,"新豐3線",'0623 4度C'!$B:$B,"平均")</f>
        <v>0</v>
      </c>
      <c r="I21" s="81">
        <f>SUMIFS('0623 4度C'!$AD:$AD,'0623 4度C'!$A:$A,"新豐1線",'0623 4度C'!$B:$B,"平均")</f>
        <v>0</v>
      </c>
      <c r="J21" s="82">
        <f>SUMIFS('0623 4度C'!$AD:$AD,'0623 4度C'!$A:$A,"新豐10線",'0623 4度C'!$B:$B,"平均")</f>
        <v>0</v>
      </c>
      <c r="K21" s="83">
        <f>SUMIFS('0623 4度C'!$AD:$AD,'0623 4度C'!$A:$A,"新豐8線",'0623 4度C'!$B:$B,"平均")</f>
        <v>0</v>
      </c>
      <c r="L21" s="81">
        <f>SUMIFS('0623 4度C'!$AD:$AD,'0623 4度C'!$A:$A,"新豐9線",'0623 4度C'!$B:$B,"平均")</f>
        <v>0</v>
      </c>
      <c r="M21" s="82">
        <f>SUMIFS('0623 4度C'!$AD:$AD,'0623 4度C'!$A:$A,"新豐4線",'0623 4度C'!$B:$B,"平均")</f>
        <v>0</v>
      </c>
    </row>
    <row r="22" spans="2:13" ht="17.25" customHeight="1">
      <c r="B22" s="553" t="s">
        <v>2024</v>
      </c>
      <c r="C22" s="554"/>
      <c r="D22" s="84">
        <f>SUMIFS('0623 4度C'!$I:$I,'0623 4度C'!$A:$A,"新豐6線",'0623 4度C'!$B:$B,"平均")</f>
        <v>15.333333333333334</v>
      </c>
      <c r="E22" s="85">
        <f>SUMIFS('0623 4度C'!$I:$I,'0623 4度C'!$A:$A,"新豐2線",'0623 4度C'!$B:$B,"平均")</f>
        <v>17.399999999999999</v>
      </c>
      <c r="F22" s="85">
        <f>SUMIFS('0623 4度C'!$I:$I,'0623 4度C'!$A:$A,"新豐5線",'0623 4度C'!$B:$B,"平均")</f>
        <v>18.714285714285715</v>
      </c>
      <c r="G22" s="85">
        <f>SUMIFS('0623 4度C'!$I:$I,'0623 4度C'!$A:$A,"新豐7線",'0623 4度C'!$B:$B,"平均")</f>
        <v>16.714285714285715</v>
      </c>
      <c r="H22" s="85">
        <f>SUMIFS('0623 4度C'!$I:$I,'0623 4度C'!$A:$A,"新豐3線",'0623 4度C'!$B:$B,"平均")</f>
        <v>10.75</v>
      </c>
      <c r="I22" s="85">
        <f>SUMIFS('0623 4度C'!$I:$I,'0623 4度C'!$A:$A,"新豐1線",'0623 4度C'!$B:$B,"平均")</f>
        <v>16.714285714285715</v>
      </c>
      <c r="J22" s="86">
        <f>SUMIFS('0623 4度C'!$I:$I,'0623 4度C'!$A:$A,"新豐10線",'0623 4度C'!$B:$B,"平均")</f>
        <v>9.25</v>
      </c>
      <c r="K22" s="84">
        <f>SUMIFS('0623 4度C'!$I:$I,'0623 4度C'!$A:$A,"新豐8線",'0623 4度C'!$B:$B,"平均")</f>
        <v>17.75</v>
      </c>
      <c r="L22" s="85">
        <f>SUMIFS('0623 4度C'!$I:$I,'0623 4度C'!$A:$A,"新豐9線",'0623 4度C'!$B:$B,"平均")</f>
        <v>17.5</v>
      </c>
      <c r="M22" s="86">
        <f>SUMIFS('0623 4度C'!$I:$I,'0623 4度C'!$A:$A,"新豐4線",'0623 4度C'!$B:$B,"平均")</f>
        <v>15.333333333333334</v>
      </c>
    </row>
    <row r="23" spans="2:13" ht="17.25" customHeight="1">
      <c r="B23" s="553" t="s">
        <v>122</v>
      </c>
      <c r="C23" s="554"/>
      <c r="D23" s="87" t="s">
        <v>71</v>
      </c>
      <c r="E23" s="88" t="s">
        <v>72</v>
      </c>
      <c r="F23" s="88" t="s">
        <v>2025</v>
      </c>
      <c r="G23" s="88" t="s">
        <v>2026</v>
      </c>
      <c r="H23" s="88" t="s">
        <v>73</v>
      </c>
      <c r="I23" s="88" t="s">
        <v>71</v>
      </c>
      <c r="J23" s="89" t="s">
        <v>73</v>
      </c>
      <c r="K23" s="87" t="s">
        <v>2027</v>
      </c>
      <c r="L23" s="88" t="s">
        <v>2027</v>
      </c>
      <c r="M23" s="89" t="s">
        <v>2027</v>
      </c>
    </row>
    <row r="24" spans="2:13" ht="17.25" customHeight="1">
      <c r="B24" s="553" t="s">
        <v>125</v>
      </c>
      <c r="C24" s="554"/>
      <c r="D24" s="87"/>
      <c r="E24" s="88"/>
      <c r="F24" s="88" t="s">
        <v>126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2028</v>
      </c>
      <c r="C25" s="556"/>
      <c r="D25" s="90"/>
      <c r="E25" s="91" t="s">
        <v>2029</v>
      </c>
      <c r="F25" s="549" t="s">
        <v>2030</v>
      </c>
      <c r="G25" s="550"/>
      <c r="H25" s="91" t="s">
        <v>2031</v>
      </c>
      <c r="I25" s="91" t="s">
        <v>131</v>
      </c>
      <c r="J25" s="92" t="s">
        <v>2031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M32" sqref="M32"/>
      <selection pane="bottomLeft" activeCell="U6" sqref="U6:X74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2032</v>
      </c>
      <c r="B1" s="1"/>
      <c r="C1" s="2" t="s">
        <v>2033</v>
      </c>
      <c r="D1" s="3">
        <f>SUM(F5:F73)</f>
        <v>198069</v>
      </c>
      <c r="E1" s="430" t="s">
        <v>2034</v>
      </c>
      <c r="F1" s="1">
        <f>SUM(G5:G73)</f>
        <v>6774038.879999999</v>
      </c>
      <c r="G1" s="1" t="s">
        <v>2035</v>
      </c>
      <c r="H1" s="4">
        <f>L8+L14+L53+L61+L22+L66+L39+L48+L30+L73</f>
        <v>155.45952380952383</v>
      </c>
      <c r="I1" s="663" t="s">
        <v>2036</v>
      </c>
      <c r="J1" s="663"/>
      <c r="K1" s="663"/>
      <c r="L1" s="663" t="s">
        <v>2037</v>
      </c>
      <c r="M1" s="663"/>
      <c r="N1" s="663"/>
      <c r="O1" s="663" t="s">
        <v>2038</v>
      </c>
      <c r="P1" s="663"/>
      <c r="Q1" s="663"/>
      <c r="R1" s="663"/>
      <c r="S1" s="663" t="s">
        <v>2039</v>
      </c>
      <c r="T1" s="663"/>
      <c r="U1" s="663"/>
      <c r="V1" s="663"/>
      <c r="W1" s="663"/>
      <c r="X1" s="663"/>
      <c r="Y1" s="5" t="s">
        <v>2040</v>
      </c>
      <c r="Z1" s="6" t="s">
        <v>2041</v>
      </c>
      <c r="AA1" s="664" t="s">
        <v>2042</v>
      </c>
      <c r="AB1" s="664"/>
      <c r="AC1" s="94" t="s">
        <v>2040</v>
      </c>
      <c r="AD1" s="6" t="s">
        <v>2043</v>
      </c>
      <c r="AE1" s="663" t="s">
        <v>2044</v>
      </c>
      <c r="AF1" s="665"/>
      <c r="AG1" s="665"/>
    </row>
    <row r="2" spans="1:33" ht="26.25" customHeight="1">
      <c r="A2" s="27">
        <v>46196</v>
      </c>
      <c r="B2" s="28" t="s">
        <v>238</v>
      </c>
      <c r="C2" s="2" t="s">
        <v>2045</v>
      </c>
      <c r="D2" s="8">
        <f>AVERAGE(N8,N14,N53,N61,N22,N66,N30,N39,N48,N73)</f>
        <v>147.06738367025699</v>
      </c>
      <c r="E2" s="9" t="s">
        <v>0</v>
      </c>
      <c r="F2" s="10">
        <f>F1/D1</f>
        <v>34.200399254805141</v>
      </c>
      <c r="G2" s="1" t="s">
        <v>2046</v>
      </c>
      <c r="H2" s="443">
        <f>COUNT(H5:H73)</f>
        <v>9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SUM(Y8+Y14+Y22+Y30+Y39+Y48+Y53+Y61+Y66+Y73)</f>
        <v>0</v>
      </c>
      <c r="Z2" s="11">
        <f>SUM(Z8+Z14+Z22+Z30+Z39+Z48+Z53+Z61+Z66+Z73)</f>
        <v>0</v>
      </c>
      <c r="AA2" s="664"/>
      <c r="AB2" s="664"/>
      <c r="AC2" s="95">
        <v>59</v>
      </c>
      <c r="AD2" s="11">
        <f>SUM(AD8+AD14+AD22+AD30+AD39+AD48+AD53+AD61+AD66+AD73)</f>
        <v>0</v>
      </c>
      <c r="AE2" s="665"/>
      <c r="AF2" s="665"/>
      <c r="AG2" s="665"/>
    </row>
    <row r="3" spans="1:33" ht="40.5" customHeight="1">
      <c r="A3" s="617" t="s">
        <v>2047</v>
      </c>
      <c r="B3" s="617" t="s">
        <v>2048</v>
      </c>
      <c r="C3" s="617" t="s">
        <v>2049</v>
      </c>
      <c r="D3" s="617"/>
      <c r="E3" s="661" t="s">
        <v>2050</v>
      </c>
      <c r="F3" s="617" t="s">
        <v>2051</v>
      </c>
      <c r="G3" s="661" t="s">
        <v>2052</v>
      </c>
      <c r="H3" s="654" t="s">
        <v>2053</v>
      </c>
      <c r="I3" s="652" t="s">
        <v>2054</v>
      </c>
      <c r="J3" s="649" t="s">
        <v>2055</v>
      </c>
      <c r="K3" s="659" t="s">
        <v>2045</v>
      </c>
      <c r="L3" s="652" t="s">
        <v>2054</v>
      </c>
      <c r="M3" s="649" t="s">
        <v>2055</v>
      </c>
      <c r="N3" s="659" t="s">
        <v>2045</v>
      </c>
      <c r="O3" s="652" t="s">
        <v>2054</v>
      </c>
      <c r="P3" s="659" t="s">
        <v>2045</v>
      </c>
      <c r="Q3" s="650" t="s">
        <v>2056</v>
      </c>
      <c r="R3" s="630" t="s">
        <v>2057</v>
      </c>
      <c r="S3" s="660" t="s">
        <v>1</v>
      </c>
      <c r="T3" s="660"/>
      <c r="U3" s="654" t="s">
        <v>2</v>
      </c>
      <c r="V3" s="654" t="s">
        <v>2058</v>
      </c>
      <c r="W3" s="617" t="s">
        <v>2059</v>
      </c>
      <c r="X3" s="617"/>
      <c r="Y3" s="655" t="s">
        <v>2060</v>
      </c>
      <c r="Z3" s="614"/>
      <c r="AA3" s="656" t="s">
        <v>2061</v>
      </c>
      <c r="AB3" s="657"/>
      <c r="AC3" s="655" t="s">
        <v>2062</v>
      </c>
      <c r="AD3" s="614"/>
      <c r="AE3" s="649" t="s">
        <v>2063</v>
      </c>
      <c r="AF3" s="650" t="s">
        <v>2064</v>
      </c>
      <c r="AG3" s="630" t="s">
        <v>2065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442" t="s">
        <v>3</v>
      </c>
      <c r="T4" s="442" t="s">
        <v>4</v>
      </c>
      <c r="U4" s="654"/>
      <c r="V4" s="654"/>
      <c r="W4" s="430" t="s">
        <v>2066</v>
      </c>
      <c r="X4" s="430" t="s">
        <v>2067</v>
      </c>
      <c r="Y4" s="432" t="s">
        <v>2068</v>
      </c>
      <c r="Z4" s="432" t="s">
        <v>2069</v>
      </c>
      <c r="AA4" s="658"/>
      <c r="AB4" s="657"/>
      <c r="AC4" s="432" t="s">
        <v>2070</v>
      </c>
      <c r="AD4" s="432" t="s">
        <v>2071</v>
      </c>
      <c r="AE4" s="649"/>
      <c r="AF4" s="650"/>
      <c r="AG4" s="630"/>
    </row>
    <row r="5" spans="1:33">
      <c r="A5" s="651" t="s">
        <v>2072</v>
      </c>
      <c r="B5" s="29" t="s">
        <v>15</v>
      </c>
      <c r="C5" s="653" t="s">
        <v>17</v>
      </c>
      <c r="D5" s="653"/>
      <c r="E5" s="29">
        <v>50.67</v>
      </c>
      <c r="F5" s="442">
        <v>1555</v>
      </c>
      <c r="G5" s="430">
        <f t="shared" ref="G5:G7" si="0">E5*F5</f>
        <v>78791.850000000006</v>
      </c>
      <c r="H5" s="33" t="s">
        <v>57</v>
      </c>
      <c r="I5" s="440">
        <v>15</v>
      </c>
      <c r="J5" s="31">
        <v>2000</v>
      </c>
      <c r="K5" s="12">
        <f t="shared" ref="K5:K68" si="1">J5/I5</f>
        <v>133.33333333333334</v>
      </c>
      <c r="L5" s="440">
        <v>15</v>
      </c>
      <c r="M5" s="13">
        <f t="shared" ref="M5:M7" si="2">F5/V5*60</f>
        <v>1904.0816326530619</v>
      </c>
      <c r="N5" s="12">
        <f t="shared" ref="N5:N68" si="3">M5/L5</f>
        <v>126.93877551020412</v>
      </c>
      <c r="O5" s="14">
        <f t="shared" ref="O5:O68" si="4">L5-I5</f>
        <v>0</v>
      </c>
      <c r="P5" s="15">
        <f t="shared" ref="P5:P68" si="5">N5-K5</f>
        <v>-6.3945578231292188</v>
      </c>
      <c r="Q5" s="429">
        <f t="shared" ref="Q5:Q68" si="6">N5/K5</f>
        <v>0.95204081632653081</v>
      </c>
      <c r="R5" s="615">
        <f>Q8</f>
        <v>0.95994693877550974</v>
      </c>
      <c r="S5" s="34">
        <v>0.70833333333333337</v>
      </c>
      <c r="T5" s="34">
        <v>0.74236111111111114</v>
      </c>
      <c r="U5" s="430"/>
      <c r="V5" s="441">
        <f t="shared" ref="V5:V7" si="7">(T5-S5)*24*60</f>
        <v>48.999999999999986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60" si="8">M5-J5</f>
        <v>-95.918367346938112</v>
      </c>
      <c r="AF5" s="429">
        <f t="shared" ref="AF5:AF68" si="9">M5/J5</f>
        <v>0.95204081632653093</v>
      </c>
      <c r="AG5" s="615">
        <f>AF8</f>
        <v>0.95994693877550985</v>
      </c>
    </row>
    <row r="6" spans="1:33">
      <c r="A6" s="652" t="s">
        <v>2073</v>
      </c>
      <c r="B6" s="29" t="s">
        <v>15</v>
      </c>
      <c r="C6" s="653" t="s">
        <v>26</v>
      </c>
      <c r="D6" s="653"/>
      <c r="E6" s="29">
        <v>50.92</v>
      </c>
      <c r="F6" s="442">
        <v>2316</v>
      </c>
      <c r="G6" s="430">
        <f t="shared" si="0"/>
        <v>117930.72</v>
      </c>
      <c r="H6" s="33" t="s">
        <v>57</v>
      </c>
      <c r="I6" s="440">
        <v>15</v>
      </c>
      <c r="J6" s="31">
        <v>2000</v>
      </c>
      <c r="K6" s="12">
        <f t="shared" si="1"/>
        <v>133.33333333333334</v>
      </c>
      <c r="L6" s="440">
        <v>15</v>
      </c>
      <c r="M6" s="13">
        <f t="shared" si="2"/>
        <v>1929.9999999999986</v>
      </c>
      <c r="N6" s="12">
        <f t="shared" si="3"/>
        <v>128.66666666666657</v>
      </c>
      <c r="O6" s="14">
        <f t="shared" si="4"/>
        <v>0</v>
      </c>
      <c r="P6" s="15">
        <f t="shared" si="5"/>
        <v>-4.6666666666667709</v>
      </c>
      <c r="Q6" s="429">
        <f t="shared" si="6"/>
        <v>0.96499999999999919</v>
      </c>
      <c r="R6" s="615"/>
      <c r="S6" s="34">
        <v>0.74722222222222223</v>
      </c>
      <c r="T6" s="34">
        <v>0.79722222222222228</v>
      </c>
      <c r="U6" s="430">
        <f t="shared" ref="U6:U7" si="10">IF(S6=TIME(17,0,0),"",(S6-T5)*24*60)</f>
        <v>6.9999999999999751</v>
      </c>
      <c r="V6" s="441">
        <f t="shared" si="7"/>
        <v>72.000000000000057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-70.000000000001364</v>
      </c>
      <c r="AF6" s="429">
        <f t="shared" si="9"/>
        <v>0.9649999999999993</v>
      </c>
      <c r="AG6" s="615"/>
    </row>
    <row r="7" spans="1:33">
      <c r="A7" s="652" t="s">
        <v>2074</v>
      </c>
      <c r="B7" s="29" t="s">
        <v>15</v>
      </c>
      <c r="C7" s="644" t="s">
        <v>31</v>
      </c>
      <c r="D7" s="645"/>
      <c r="E7" s="29">
        <v>50.98</v>
      </c>
      <c r="F7" s="442">
        <v>2407</v>
      </c>
      <c r="G7" s="430">
        <f t="shared" si="0"/>
        <v>122708.85999999999</v>
      </c>
      <c r="H7" s="33" t="s">
        <v>57</v>
      </c>
      <c r="I7" s="440">
        <v>16</v>
      </c>
      <c r="J7" s="31">
        <v>2000</v>
      </c>
      <c r="K7" s="12">
        <f t="shared" si="1"/>
        <v>125</v>
      </c>
      <c r="L7" s="440">
        <v>16</v>
      </c>
      <c r="M7" s="13">
        <f t="shared" si="2"/>
        <v>1925.5999999999988</v>
      </c>
      <c r="N7" s="12">
        <f t="shared" si="3"/>
        <v>120.34999999999992</v>
      </c>
      <c r="O7" s="14">
        <f t="shared" si="4"/>
        <v>0</v>
      </c>
      <c r="P7" s="15">
        <f t="shared" si="5"/>
        <v>-4.6500000000000767</v>
      </c>
      <c r="Q7" s="429">
        <f t="shared" si="6"/>
        <v>0.96279999999999943</v>
      </c>
      <c r="R7" s="615"/>
      <c r="S7" s="34">
        <v>0.80138888888888893</v>
      </c>
      <c r="T7" s="34">
        <v>0.8534722222222223</v>
      </c>
      <c r="U7" s="430">
        <f t="shared" si="10"/>
        <v>5.9999999999999787</v>
      </c>
      <c r="V7" s="441">
        <f t="shared" si="7"/>
        <v>75.000000000000057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-74.400000000001228</v>
      </c>
      <c r="AF7" s="429">
        <f t="shared" si="9"/>
        <v>0.96279999999999943</v>
      </c>
      <c r="AG7" s="615"/>
    </row>
    <row r="8" spans="1:33">
      <c r="A8" s="652" t="s">
        <v>172</v>
      </c>
      <c r="B8" s="29" t="s">
        <v>2075</v>
      </c>
      <c r="C8" s="618"/>
      <c r="D8" s="618"/>
      <c r="E8" s="431"/>
      <c r="F8" s="30"/>
      <c r="G8" s="12"/>
      <c r="H8" s="442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1919.8938775510196</v>
      </c>
      <c r="N8" s="12">
        <f t="shared" si="3"/>
        <v>125.2104702750665</v>
      </c>
      <c r="O8" s="14">
        <f t="shared" si="4"/>
        <v>0</v>
      </c>
      <c r="P8" s="15">
        <f t="shared" si="5"/>
        <v>-5.2243123336291575</v>
      </c>
      <c r="Q8" s="429">
        <f t="shared" si="6"/>
        <v>0.95994693877550974</v>
      </c>
      <c r="R8" s="615"/>
      <c r="S8" s="34"/>
      <c r="T8" s="34"/>
      <c r="U8" s="430"/>
      <c r="V8" s="441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-80.106122448980386</v>
      </c>
      <c r="AF8" s="429">
        <f t="shared" si="9"/>
        <v>0.95994693877550985</v>
      </c>
      <c r="AG8" s="615"/>
    </row>
    <row r="9" spans="1:33" ht="15.75" customHeight="1">
      <c r="A9" s="648" t="s">
        <v>174</v>
      </c>
      <c r="B9" s="29" t="s">
        <v>19</v>
      </c>
      <c r="C9" s="644" t="s">
        <v>20</v>
      </c>
      <c r="D9" s="645"/>
      <c r="E9" s="29">
        <v>39.619999999999997</v>
      </c>
      <c r="F9" s="442">
        <v>3100</v>
      </c>
      <c r="G9" s="430">
        <f t="shared" ref="G9:G13" si="11">E9*F9</f>
        <v>122821.99999999999</v>
      </c>
      <c r="H9" s="33">
        <v>2</v>
      </c>
      <c r="I9" s="440">
        <v>19</v>
      </c>
      <c r="J9" s="31">
        <v>1500</v>
      </c>
      <c r="K9" s="12">
        <f t="shared" si="1"/>
        <v>78.94736842105263</v>
      </c>
      <c r="L9" s="440">
        <v>19</v>
      </c>
      <c r="M9" s="13">
        <f t="shared" ref="M9:M13" si="12">F9/V9*60</f>
        <v>1430.7692307692307</v>
      </c>
      <c r="N9" s="12">
        <f t="shared" si="3"/>
        <v>75.303643724696357</v>
      </c>
      <c r="O9" s="14">
        <f t="shared" si="4"/>
        <v>0</v>
      </c>
      <c r="P9" s="15">
        <f t="shared" si="5"/>
        <v>-3.6437246963562728</v>
      </c>
      <c r="Q9" s="429">
        <f t="shared" si="6"/>
        <v>0.9538461538461539</v>
      </c>
      <c r="R9" s="615">
        <f>Q14</f>
        <v>0.95381229350307295</v>
      </c>
      <c r="S9" s="34">
        <v>8.3333333333333329E-2</v>
      </c>
      <c r="T9" s="34">
        <v>0.1736111111111111</v>
      </c>
      <c r="U9" s="430"/>
      <c r="V9" s="441">
        <f t="shared" ref="V9:V13" si="13">(T9-S9)*24*60</f>
        <v>130</v>
      </c>
      <c r="W9" s="16">
        <f>T9</f>
        <v>0.1736111111111111</v>
      </c>
      <c r="X9" s="16">
        <f>S10</f>
        <v>0.19513888888888889</v>
      </c>
      <c r="Y9" s="16"/>
      <c r="Z9" s="16"/>
      <c r="AA9" s="617"/>
      <c r="AB9" s="617"/>
      <c r="AC9" s="35">
        <v>5</v>
      </c>
      <c r="AD9" s="18"/>
      <c r="AE9" s="14">
        <f t="shared" si="8"/>
        <v>-69.230769230769283</v>
      </c>
      <c r="AF9" s="429">
        <f t="shared" si="9"/>
        <v>0.95384615384615379</v>
      </c>
      <c r="AG9" s="615">
        <f>AF14</f>
        <v>0.95381229350307295</v>
      </c>
    </row>
    <row r="10" spans="1:33" ht="15.75" customHeight="1">
      <c r="A10" s="648" t="s">
        <v>2076</v>
      </c>
      <c r="B10" s="29" t="s">
        <v>19</v>
      </c>
      <c r="C10" s="644" t="s">
        <v>83</v>
      </c>
      <c r="D10" s="645"/>
      <c r="E10" s="29">
        <v>39.46</v>
      </c>
      <c r="F10" s="442">
        <v>4817</v>
      </c>
      <c r="G10" s="430">
        <f t="shared" si="11"/>
        <v>190078.82</v>
      </c>
      <c r="H10" s="33" t="s">
        <v>57</v>
      </c>
      <c r="I10" s="440">
        <v>15</v>
      </c>
      <c r="J10" s="31">
        <v>1500</v>
      </c>
      <c r="K10" s="12">
        <f t="shared" si="1"/>
        <v>100</v>
      </c>
      <c r="L10" s="440">
        <v>15</v>
      </c>
      <c r="M10" s="13">
        <f t="shared" si="12"/>
        <v>1430.7920792079206</v>
      </c>
      <c r="N10" s="12">
        <f t="shared" si="3"/>
        <v>95.386138613861377</v>
      </c>
      <c r="O10" s="14">
        <f t="shared" si="4"/>
        <v>0</v>
      </c>
      <c r="P10" s="15">
        <f t="shared" si="5"/>
        <v>-4.6138613861386233</v>
      </c>
      <c r="Q10" s="429">
        <f t="shared" si="6"/>
        <v>0.95386138613861382</v>
      </c>
      <c r="R10" s="615"/>
      <c r="S10" s="34">
        <v>0.19513888888888889</v>
      </c>
      <c r="T10" s="34">
        <v>0.3354166666666667</v>
      </c>
      <c r="U10" s="430">
        <f t="shared" ref="U10:U13" si="14">IF(S10=TIME(17,0,0),"",(S10-T9)*24*60)</f>
        <v>31.000000000000011</v>
      </c>
      <c r="V10" s="441">
        <f t="shared" si="13"/>
        <v>202.00000000000003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-69.207920792079449</v>
      </c>
      <c r="AF10" s="429">
        <f t="shared" si="9"/>
        <v>0.95386138613861371</v>
      </c>
      <c r="AG10" s="615"/>
    </row>
    <row r="11" spans="1:33" ht="15.75" customHeight="1">
      <c r="A11" s="648" t="s">
        <v>2076</v>
      </c>
      <c r="B11" s="29" t="s">
        <v>19</v>
      </c>
      <c r="C11" s="644" t="s">
        <v>21</v>
      </c>
      <c r="D11" s="645"/>
      <c r="E11" s="29">
        <v>39.799999999999997</v>
      </c>
      <c r="F11" s="442">
        <v>5200</v>
      </c>
      <c r="G11" s="430">
        <f t="shared" si="11"/>
        <v>206959.99999999997</v>
      </c>
      <c r="H11" s="33">
        <v>2</v>
      </c>
      <c r="I11" s="440">
        <v>17</v>
      </c>
      <c r="J11" s="31">
        <v>1500</v>
      </c>
      <c r="K11" s="12">
        <f t="shared" si="1"/>
        <v>88.235294117647058</v>
      </c>
      <c r="L11" s="440">
        <v>17</v>
      </c>
      <c r="M11" s="13">
        <f t="shared" si="12"/>
        <v>1431.1926605504586</v>
      </c>
      <c r="N11" s="12">
        <f t="shared" si="3"/>
        <v>84.187803561791682</v>
      </c>
      <c r="O11" s="14">
        <f t="shared" si="4"/>
        <v>0</v>
      </c>
      <c r="P11" s="15">
        <f t="shared" si="5"/>
        <v>-4.0474905558553758</v>
      </c>
      <c r="Q11" s="429">
        <f t="shared" si="6"/>
        <v>0.95412844036697242</v>
      </c>
      <c r="R11" s="615"/>
      <c r="S11" s="34">
        <v>0.34027777777777779</v>
      </c>
      <c r="T11" s="34">
        <v>0.4916666666666667</v>
      </c>
      <c r="U11" s="430">
        <f t="shared" si="14"/>
        <v>6.9999999999999751</v>
      </c>
      <c r="V11" s="441">
        <f t="shared" si="13"/>
        <v>218.00000000000003</v>
      </c>
      <c r="W11" s="16">
        <f>T11</f>
        <v>0.4916666666666667</v>
      </c>
      <c r="X11" s="16">
        <f>S12</f>
        <v>0.53263888888888888</v>
      </c>
      <c r="Y11" s="16"/>
      <c r="Z11" s="16"/>
      <c r="AA11" s="617"/>
      <c r="AB11" s="617"/>
      <c r="AC11" s="35"/>
      <c r="AD11" s="18"/>
      <c r="AE11" s="14">
        <f t="shared" si="8"/>
        <v>-68.807339449541359</v>
      </c>
      <c r="AF11" s="429">
        <f t="shared" si="9"/>
        <v>0.95412844036697242</v>
      </c>
      <c r="AG11" s="615"/>
    </row>
    <row r="12" spans="1:33" ht="15.75" customHeight="1">
      <c r="A12" s="648" t="s">
        <v>2077</v>
      </c>
      <c r="B12" s="29" t="s">
        <v>19</v>
      </c>
      <c r="C12" s="644" t="s">
        <v>20</v>
      </c>
      <c r="D12" s="645"/>
      <c r="E12" s="29">
        <v>39.619999999999997</v>
      </c>
      <c r="F12" s="442">
        <v>2531</v>
      </c>
      <c r="G12" s="430">
        <f t="shared" si="11"/>
        <v>100278.21999999999</v>
      </c>
      <c r="H12" s="33" t="s">
        <v>57</v>
      </c>
      <c r="I12" s="440">
        <v>19</v>
      </c>
      <c r="J12" s="31">
        <v>1500</v>
      </c>
      <c r="K12" s="12">
        <f t="shared" si="1"/>
        <v>78.94736842105263</v>
      </c>
      <c r="L12" s="440">
        <v>19</v>
      </c>
      <c r="M12" s="13">
        <f t="shared" si="12"/>
        <v>1432.6415094339629</v>
      </c>
      <c r="N12" s="12">
        <f t="shared" si="3"/>
        <v>75.402184707050679</v>
      </c>
      <c r="O12" s="14">
        <f t="shared" si="4"/>
        <v>0</v>
      </c>
      <c r="P12" s="15">
        <f t="shared" si="5"/>
        <v>-3.5451837140019506</v>
      </c>
      <c r="Q12" s="429">
        <f t="shared" si="6"/>
        <v>0.95509433962264201</v>
      </c>
      <c r="R12" s="615"/>
      <c r="S12" s="34">
        <v>0.53263888888888888</v>
      </c>
      <c r="T12" s="34">
        <v>0.60624999999999996</v>
      </c>
      <c r="U12" s="430">
        <f t="shared" si="14"/>
        <v>58.99999999999995</v>
      </c>
      <c r="V12" s="441">
        <f t="shared" si="13"/>
        <v>105.99999999999994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-67.358490566037062</v>
      </c>
      <c r="AF12" s="429">
        <f t="shared" si="9"/>
        <v>0.95509433962264201</v>
      </c>
      <c r="AG12" s="615"/>
    </row>
    <row r="13" spans="1:33" ht="15.75" customHeight="1">
      <c r="A13" s="648" t="s">
        <v>2077</v>
      </c>
      <c r="B13" s="29" t="s">
        <v>19</v>
      </c>
      <c r="C13" s="644" t="s">
        <v>21</v>
      </c>
      <c r="D13" s="645"/>
      <c r="E13" s="29">
        <v>39.799999999999997</v>
      </c>
      <c r="F13" s="442">
        <v>2904</v>
      </c>
      <c r="G13" s="430">
        <f t="shared" si="11"/>
        <v>115579.2</v>
      </c>
      <c r="H13" s="33" t="s">
        <v>57</v>
      </c>
      <c r="I13" s="440">
        <v>17</v>
      </c>
      <c r="J13" s="31">
        <v>1500</v>
      </c>
      <c r="K13" s="12">
        <f t="shared" si="1"/>
        <v>88.235294117647058</v>
      </c>
      <c r="L13" s="440">
        <v>17</v>
      </c>
      <c r="M13" s="13">
        <f t="shared" si="12"/>
        <v>1428.1967213114749</v>
      </c>
      <c r="N13" s="12">
        <f t="shared" si="3"/>
        <v>84.011571841851463</v>
      </c>
      <c r="O13" s="14">
        <f t="shared" si="4"/>
        <v>0</v>
      </c>
      <c r="P13" s="15">
        <f t="shared" si="5"/>
        <v>-4.2237222757955948</v>
      </c>
      <c r="Q13" s="429">
        <f t="shared" si="6"/>
        <v>0.95213114754098327</v>
      </c>
      <c r="R13" s="615"/>
      <c r="S13" s="34">
        <v>0.61041666666666661</v>
      </c>
      <c r="T13" s="34">
        <v>0.69513888888888886</v>
      </c>
      <c r="U13" s="430">
        <f t="shared" si="14"/>
        <v>5.9999999999999787</v>
      </c>
      <c r="V13" s="441">
        <f t="shared" si="13"/>
        <v>122.00000000000004</v>
      </c>
      <c r="W13" s="16"/>
      <c r="X13" s="16"/>
      <c r="Y13" s="19"/>
      <c r="Z13" s="19"/>
      <c r="AA13" s="624"/>
      <c r="AB13" s="625"/>
      <c r="AC13" s="35"/>
      <c r="AD13" s="18"/>
      <c r="AE13" s="14">
        <f t="shared" si="8"/>
        <v>-71.803278688525097</v>
      </c>
      <c r="AF13" s="429">
        <f t="shared" si="9"/>
        <v>0.95213114754098327</v>
      </c>
      <c r="AG13" s="615"/>
    </row>
    <row r="14" spans="1:33" ht="16.5" customHeight="1">
      <c r="A14" s="648" t="s">
        <v>174</v>
      </c>
      <c r="B14" s="29" t="s">
        <v>2078</v>
      </c>
      <c r="C14" s="618"/>
      <c r="D14" s="618"/>
      <c r="E14" s="431"/>
      <c r="F14" s="31"/>
      <c r="G14" s="13"/>
      <c r="H14" s="442"/>
      <c r="I14" s="23">
        <v>17.399999999999999</v>
      </c>
      <c r="J14" s="31">
        <v>1500</v>
      </c>
      <c r="K14" s="12">
        <f t="shared" si="1"/>
        <v>86.206896551724142</v>
      </c>
      <c r="L14" s="23">
        <v>17.399999999999999</v>
      </c>
      <c r="M14" s="13">
        <f>AVERAGE(M9:M13)</f>
        <v>1430.7184402546095</v>
      </c>
      <c r="N14" s="12">
        <f t="shared" si="3"/>
        <v>82.225197715782159</v>
      </c>
      <c r="O14" s="14">
        <f t="shared" si="4"/>
        <v>0</v>
      </c>
      <c r="P14" s="15">
        <f t="shared" si="5"/>
        <v>-3.9816988359419838</v>
      </c>
      <c r="Q14" s="429">
        <f t="shared" si="6"/>
        <v>0.95381229350307295</v>
      </c>
      <c r="R14" s="615"/>
      <c r="S14" s="34"/>
      <c r="T14" s="34"/>
      <c r="U14" s="12"/>
      <c r="V14" s="441"/>
      <c r="W14" s="12"/>
      <c r="X14" s="12"/>
      <c r="Y14" s="24">
        <f>SUM(Y9:Y13)</f>
        <v>0</v>
      </c>
      <c r="Z14" s="24">
        <f>SUM(Z9:Z13)</f>
        <v>0</v>
      </c>
      <c r="AA14" s="614"/>
      <c r="AB14" s="614"/>
      <c r="AC14" s="24">
        <v>5</v>
      </c>
      <c r="AD14" s="24">
        <f>SUM(AD9:AD13)</f>
        <v>0</v>
      </c>
      <c r="AE14" s="14">
        <f t="shared" si="8"/>
        <v>-69.281559745390496</v>
      </c>
      <c r="AF14" s="429">
        <f t="shared" si="9"/>
        <v>0.95381229350307295</v>
      </c>
      <c r="AG14" s="615"/>
    </row>
    <row r="15" spans="1:33" ht="16.5" customHeight="1">
      <c r="A15" s="646" t="s">
        <v>8</v>
      </c>
      <c r="B15" s="442" t="s">
        <v>22</v>
      </c>
      <c r="C15" s="640" t="s">
        <v>23</v>
      </c>
      <c r="D15" s="640"/>
      <c r="E15" s="29">
        <v>41</v>
      </c>
      <c r="F15" s="442">
        <v>2251</v>
      </c>
      <c r="G15" s="430">
        <f t="shared" ref="G15:G21" si="15">E15*F15</f>
        <v>92291</v>
      </c>
      <c r="H15" s="33" t="s">
        <v>57</v>
      </c>
      <c r="I15" s="440">
        <v>26</v>
      </c>
      <c r="J15" s="31">
        <v>1500</v>
      </c>
      <c r="K15" s="12">
        <f t="shared" si="1"/>
        <v>57.692307692307693</v>
      </c>
      <c r="L15" s="440">
        <v>26</v>
      </c>
      <c r="M15" s="13">
        <f t="shared" ref="M15:M21" si="16">F15/V15*60</f>
        <v>1436.8085106382978</v>
      </c>
      <c r="N15" s="12">
        <f t="shared" si="3"/>
        <v>55.261865793780686</v>
      </c>
      <c r="O15" s="14">
        <f t="shared" si="4"/>
        <v>0</v>
      </c>
      <c r="P15" s="15">
        <f t="shared" si="5"/>
        <v>-2.4304418985270075</v>
      </c>
      <c r="Q15" s="429">
        <f t="shared" si="6"/>
        <v>0.95787234042553182</v>
      </c>
      <c r="R15" s="615">
        <f>Q22</f>
        <v>0.95864431573648878</v>
      </c>
      <c r="S15" s="34">
        <v>8.3333333333333329E-2</v>
      </c>
      <c r="T15" s="34">
        <v>0.14861111111111111</v>
      </c>
      <c r="U15" s="430"/>
      <c r="V15" s="441">
        <f t="shared" ref="V15:V21" si="17">(T15-S15)*24*60</f>
        <v>94.000000000000014</v>
      </c>
      <c r="W15" s="16">
        <f>T15</f>
        <v>0.14861111111111111</v>
      </c>
      <c r="X15" s="16">
        <f>S16</f>
        <v>0.16805555555555557</v>
      </c>
      <c r="Y15" s="21"/>
      <c r="Z15" s="21"/>
      <c r="AA15" s="617"/>
      <c r="AB15" s="617"/>
      <c r="AC15" s="35">
        <v>7</v>
      </c>
      <c r="AD15" s="18"/>
      <c r="AE15" s="14">
        <f t="shared" si="8"/>
        <v>-63.191489361702224</v>
      </c>
      <c r="AF15" s="429">
        <f t="shared" si="9"/>
        <v>0.95787234042553182</v>
      </c>
      <c r="AG15" s="615">
        <f>AF22</f>
        <v>0.95864431573648878</v>
      </c>
    </row>
    <row r="16" spans="1:33" ht="16.5" customHeight="1">
      <c r="A16" s="647" t="s">
        <v>8</v>
      </c>
      <c r="B16" s="442" t="s">
        <v>22</v>
      </c>
      <c r="C16" s="640" t="s">
        <v>87</v>
      </c>
      <c r="D16" s="640"/>
      <c r="E16" s="29">
        <v>38.619999999999997</v>
      </c>
      <c r="F16" s="442">
        <v>2499</v>
      </c>
      <c r="G16" s="430">
        <f t="shared" si="15"/>
        <v>96511.37999999999</v>
      </c>
      <c r="H16" s="33" t="s">
        <v>57</v>
      </c>
      <c r="I16" s="440">
        <v>24</v>
      </c>
      <c r="J16" s="31">
        <v>1500</v>
      </c>
      <c r="K16" s="12">
        <f t="shared" si="1"/>
        <v>62.5</v>
      </c>
      <c r="L16" s="440">
        <v>24</v>
      </c>
      <c r="M16" s="13">
        <f t="shared" si="16"/>
        <v>1441.7307692307688</v>
      </c>
      <c r="N16" s="12">
        <f t="shared" si="3"/>
        <v>60.072115384615365</v>
      </c>
      <c r="O16" s="14">
        <f t="shared" si="4"/>
        <v>0</v>
      </c>
      <c r="P16" s="15">
        <f t="shared" si="5"/>
        <v>-2.4278846153846345</v>
      </c>
      <c r="Q16" s="429">
        <f t="shared" si="6"/>
        <v>0.9611538461538458</v>
      </c>
      <c r="R16" s="615"/>
      <c r="S16" s="34">
        <v>0.16805555555555557</v>
      </c>
      <c r="T16" s="34">
        <v>0.24027777777777781</v>
      </c>
      <c r="U16" s="430">
        <f t="shared" ref="U16:U21" si="18">IF(S16=TIME(17,0,0),"",(S16-T15)*24*60)</f>
        <v>28.000000000000021</v>
      </c>
      <c r="V16" s="441">
        <f t="shared" si="17"/>
        <v>104.00000000000003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-58.269230769231172</v>
      </c>
      <c r="AF16" s="429">
        <f t="shared" si="9"/>
        <v>0.96115384615384591</v>
      </c>
      <c r="AG16" s="615"/>
    </row>
    <row r="17" spans="1:33" ht="16.5" customHeight="1">
      <c r="A17" s="647" t="s">
        <v>8</v>
      </c>
      <c r="B17" s="442" t="s">
        <v>15</v>
      </c>
      <c r="C17" s="640" t="s">
        <v>86</v>
      </c>
      <c r="D17" s="640"/>
      <c r="E17" s="29">
        <v>37.03</v>
      </c>
      <c r="F17" s="442">
        <v>3451</v>
      </c>
      <c r="G17" s="430">
        <f t="shared" si="15"/>
        <v>127790.53</v>
      </c>
      <c r="H17" s="33" t="s">
        <v>57</v>
      </c>
      <c r="I17" s="440">
        <v>13</v>
      </c>
      <c r="J17" s="31">
        <v>1500</v>
      </c>
      <c r="K17" s="12">
        <f t="shared" si="1"/>
        <v>115.38461538461539</v>
      </c>
      <c r="L17" s="440">
        <v>13</v>
      </c>
      <c r="M17" s="13">
        <f t="shared" si="16"/>
        <v>1428.0000000000002</v>
      </c>
      <c r="N17" s="12">
        <f t="shared" si="3"/>
        <v>109.84615384615387</v>
      </c>
      <c r="O17" s="14">
        <f t="shared" si="4"/>
        <v>0</v>
      </c>
      <c r="P17" s="15">
        <f t="shared" si="5"/>
        <v>-5.5384615384615188</v>
      </c>
      <c r="Q17" s="429">
        <f t="shared" si="6"/>
        <v>0.95200000000000018</v>
      </c>
      <c r="R17" s="615"/>
      <c r="S17" s="34">
        <v>0.24375000000000002</v>
      </c>
      <c r="T17" s="34">
        <v>0.34444444444444444</v>
      </c>
      <c r="U17" s="430">
        <f t="shared" si="18"/>
        <v>4.9999999999999822</v>
      </c>
      <c r="V17" s="441">
        <f t="shared" si="17"/>
        <v>144.99999999999997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-71.999999999999773</v>
      </c>
      <c r="AF17" s="429">
        <f t="shared" si="9"/>
        <v>0.95200000000000018</v>
      </c>
      <c r="AG17" s="615"/>
    </row>
    <row r="18" spans="1:33" ht="16.5" customHeight="1">
      <c r="A18" s="647" t="s">
        <v>2079</v>
      </c>
      <c r="B18" s="442" t="s">
        <v>19</v>
      </c>
      <c r="C18" s="640" t="s">
        <v>267</v>
      </c>
      <c r="D18" s="640"/>
      <c r="E18" s="29">
        <v>39.520000000000003</v>
      </c>
      <c r="F18" s="442">
        <v>3779</v>
      </c>
      <c r="G18" s="430">
        <f t="shared" si="15"/>
        <v>149346.08000000002</v>
      </c>
      <c r="H18" s="33" t="s">
        <v>57</v>
      </c>
      <c r="I18" s="440">
        <v>19</v>
      </c>
      <c r="J18" s="31">
        <v>1500</v>
      </c>
      <c r="K18" s="12">
        <f t="shared" si="1"/>
        <v>78.94736842105263</v>
      </c>
      <c r="L18" s="440">
        <v>19</v>
      </c>
      <c r="M18" s="13">
        <f t="shared" si="16"/>
        <v>1435.0632911392406</v>
      </c>
      <c r="N18" s="12">
        <f t="shared" si="3"/>
        <v>75.529646902065295</v>
      </c>
      <c r="O18" s="14">
        <f t="shared" si="4"/>
        <v>0</v>
      </c>
      <c r="P18" s="15">
        <f t="shared" si="5"/>
        <v>-3.4177215189873351</v>
      </c>
      <c r="Q18" s="429">
        <f t="shared" si="6"/>
        <v>0.9567088607594938</v>
      </c>
      <c r="R18" s="615"/>
      <c r="S18" s="34">
        <v>0.34791666666666665</v>
      </c>
      <c r="T18" s="34">
        <v>0.45763888888888887</v>
      </c>
      <c r="U18" s="430">
        <f t="shared" si="18"/>
        <v>4.9999999999999822</v>
      </c>
      <c r="V18" s="441">
        <f t="shared" si="17"/>
        <v>158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-64.936708860759381</v>
      </c>
      <c r="AF18" s="429">
        <f t="shared" si="9"/>
        <v>0.9567088607594938</v>
      </c>
      <c r="AG18" s="615"/>
    </row>
    <row r="19" spans="1:33" ht="16.5" customHeight="1">
      <c r="A19" s="647" t="s">
        <v>8</v>
      </c>
      <c r="B19" s="442" t="s">
        <v>15</v>
      </c>
      <c r="C19" s="640" t="s">
        <v>25</v>
      </c>
      <c r="D19" s="640"/>
      <c r="E19" s="29">
        <v>53.68</v>
      </c>
      <c r="F19" s="442">
        <v>1131</v>
      </c>
      <c r="G19" s="430">
        <f t="shared" si="15"/>
        <v>60712.08</v>
      </c>
      <c r="H19" s="33" t="s">
        <v>57</v>
      </c>
      <c r="I19" s="440">
        <v>16</v>
      </c>
      <c r="J19" s="31">
        <v>1500</v>
      </c>
      <c r="K19" s="12">
        <f t="shared" si="1"/>
        <v>93.75</v>
      </c>
      <c r="L19" s="440">
        <v>16</v>
      </c>
      <c r="M19" s="13">
        <f t="shared" si="16"/>
        <v>1443.8297872340427</v>
      </c>
      <c r="N19" s="12">
        <f t="shared" si="3"/>
        <v>90.239361702127667</v>
      </c>
      <c r="O19" s="14">
        <f t="shared" si="4"/>
        <v>0</v>
      </c>
      <c r="P19" s="15">
        <f t="shared" si="5"/>
        <v>-3.5106382978723332</v>
      </c>
      <c r="Q19" s="429">
        <f t="shared" si="6"/>
        <v>0.9625531914893618</v>
      </c>
      <c r="R19" s="615"/>
      <c r="S19" s="34">
        <v>0.70833333333333337</v>
      </c>
      <c r="T19" s="34">
        <v>0.74097222222222225</v>
      </c>
      <c r="U19" s="430" t="str">
        <f t="shared" si="18"/>
        <v/>
      </c>
      <c r="V19" s="441">
        <f t="shared" si="17"/>
        <v>46.999999999999993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-56.170212765957331</v>
      </c>
      <c r="AF19" s="429">
        <f t="shared" si="9"/>
        <v>0.9625531914893618</v>
      </c>
      <c r="AG19" s="615"/>
    </row>
    <row r="20" spans="1:33" ht="16.5" customHeight="1">
      <c r="A20" s="647" t="s">
        <v>2080</v>
      </c>
      <c r="B20" s="442" t="s">
        <v>15</v>
      </c>
      <c r="C20" s="438" t="s">
        <v>18</v>
      </c>
      <c r="D20" s="439"/>
      <c r="E20" s="29">
        <v>52.86</v>
      </c>
      <c r="F20" s="442">
        <v>1399</v>
      </c>
      <c r="G20" s="430">
        <f t="shared" si="15"/>
        <v>73951.14</v>
      </c>
      <c r="H20" s="33" t="s">
        <v>57</v>
      </c>
      <c r="I20" s="440">
        <v>16</v>
      </c>
      <c r="J20" s="31">
        <v>2000</v>
      </c>
      <c r="K20" s="12">
        <f t="shared" si="1"/>
        <v>125</v>
      </c>
      <c r="L20" s="440">
        <v>16</v>
      </c>
      <c r="M20" s="13">
        <f t="shared" si="16"/>
        <v>1907.7272727272727</v>
      </c>
      <c r="N20" s="12">
        <f t="shared" si="3"/>
        <v>119.23295454545455</v>
      </c>
      <c r="O20" s="14">
        <f t="shared" si="4"/>
        <v>0</v>
      </c>
      <c r="P20" s="15">
        <f t="shared" si="5"/>
        <v>-5.7670454545454533</v>
      </c>
      <c r="Q20" s="429">
        <f t="shared" si="6"/>
        <v>0.95386363636363636</v>
      </c>
      <c r="R20" s="615"/>
      <c r="S20" s="34">
        <v>0.74513888888888891</v>
      </c>
      <c r="T20" s="34">
        <v>0.77569444444444446</v>
      </c>
      <c r="U20" s="430">
        <f t="shared" si="18"/>
        <v>5.9999999999999787</v>
      </c>
      <c r="V20" s="441">
        <f t="shared" si="17"/>
        <v>44</v>
      </c>
      <c r="W20" s="16"/>
      <c r="X20" s="16"/>
      <c r="Y20" s="19"/>
      <c r="Z20" s="19"/>
      <c r="AA20" s="436"/>
      <c r="AB20" s="437"/>
      <c r="AC20" s="35"/>
      <c r="AD20" s="18"/>
      <c r="AE20" s="14">
        <f t="shared" si="8"/>
        <v>-92.272727272727252</v>
      </c>
      <c r="AF20" s="429">
        <f t="shared" si="9"/>
        <v>0.95386363636363636</v>
      </c>
      <c r="AG20" s="615"/>
    </row>
    <row r="21" spans="1:33" ht="16.5" customHeight="1">
      <c r="A21" s="647" t="s">
        <v>8</v>
      </c>
      <c r="B21" s="442" t="s">
        <v>15</v>
      </c>
      <c r="C21" s="438" t="s">
        <v>16</v>
      </c>
      <c r="D21" s="439"/>
      <c r="E21" s="29">
        <v>50.67</v>
      </c>
      <c r="F21" s="442">
        <v>1545</v>
      </c>
      <c r="G21" s="430">
        <f t="shared" si="15"/>
        <v>78285.150000000009</v>
      </c>
      <c r="H21" s="33" t="s">
        <v>57</v>
      </c>
      <c r="I21" s="440">
        <v>17</v>
      </c>
      <c r="J21" s="31">
        <v>2000</v>
      </c>
      <c r="K21" s="12">
        <f t="shared" si="1"/>
        <v>117.64705882352941</v>
      </c>
      <c r="L21" s="440">
        <v>17</v>
      </c>
      <c r="M21" s="13">
        <f t="shared" si="16"/>
        <v>1931.2500000000005</v>
      </c>
      <c r="N21" s="12">
        <f t="shared" si="3"/>
        <v>113.60294117647061</v>
      </c>
      <c r="O21" s="14">
        <f t="shared" si="4"/>
        <v>0</v>
      </c>
      <c r="P21" s="15">
        <f t="shared" si="5"/>
        <v>-4.0441176470587976</v>
      </c>
      <c r="Q21" s="429">
        <f t="shared" si="6"/>
        <v>0.96562500000000018</v>
      </c>
      <c r="R21" s="615"/>
      <c r="S21" s="34">
        <v>0.77916666666666667</v>
      </c>
      <c r="T21" s="34">
        <v>0.8125</v>
      </c>
      <c r="U21" s="430">
        <f t="shared" si="18"/>
        <v>4.9999999999999822</v>
      </c>
      <c r="V21" s="441">
        <f t="shared" si="17"/>
        <v>47.999999999999986</v>
      </c>
      <c r="W21" s="16"/>
      <c r="X21" s="16"/>
      <c r="Y21" s="19"/>
      <c r="Z21" s="19"/>
      <c r="AA21" s="436"/>
      <c r="AB21" s="437"/>
      <c r="AC21" s="35"/>
      <c r="AD21" s="18"/>
      <c r="AE21" s="14">
        <f t="shared" si="8"/>
        <v>-68.749999999999545</v>
      </c>
      <c r="AF21" s="429">
        <f t="shared" si="9"/>
        <v>0.96562500000000018</v>
      </c>
      <c r="AG21" s="615"/>
    </row>
    <row r="22" spans="1:33" ht="16.5" customHeight="1">
      <c r="A22" s="647" t="s">
        <v>2081</v>
      </c>
      <c r="B22" s="29" t="s">
        <v>2082</v>
      </c>
      <c r="C22" s="618"/>
      <c r="D22" s="618"/>
      <c r="E22" s="431"/>
      <c r="F22" s="30"/>
      <c r="G22" s="12"/>
      <c r="H22" s="442"/>
      <c r="I22" s="23">
        <v>18.714285714285715</v>
      </c>
      <c r="J22" s="31">
        <v>1642.8571428571429</v>
      </c>
      <c r="K22" s="12">
        <f t="shared" si="1"/>
        <v>87.786259541984734</v>
      </c>
      <c r="L22" s="23">
        <v>18.714285714285715</v>
      </c>
      <c r="M22" s="13">
        <f>AVERAGE(M15:M21)</f>
        <v>1574.9156615670888</v>
      </c>
      <c r="N22" s="12">
        <f t="shared" si="3"/>
        <v>84.155798709691766</v>
      </c>
      <c r="O22" s="14">
        <f t="shared" si="4"/>
        <v>0</v>
      </c>
      <c r="P22" s="15">
        <f t="shared" si="5"/>
        <v>-3.6304608322929681</v>
      </c>
      <c r="Q22" s="429">
        <f t="shared" si="6"/>
        <v>0.95864431573648878</v>
      </c>
      <c r="R22" s="615"/>
      <c r="S22" s="34"/>
      <c r="T22" s="34"/>
      <c r="U22" s="430"/>
      <c r="V22" s="441"/>
      <c r="W22" s="12"/>
      <c r="X22" s="12"/>
      <c r="Y22" s="24">
        <f>SUM(Y15:Y21)</f>
        <v>0</v>
      </c>
      <c r="Z22" s="24">
        <f>SUM(Z15:Z21)</f>
        <v>0</v>
      </c>
      <c r="AA22" s="614"/>
      <c r="AB22" s="614"/>
      <c r="AC22" s="24">
        <v>7</v>
      </c>
      <c r="AD22" s="24">
        <f>SUM(AD15:AD21)</f>
        <v>0</v>
      </c>
      <c r="AE22" s="14">
        <f t="shared" si="8"/>
        <v>-67.941481290054071</v>
      </c>
      <c r="AF22" s="429">
        <f t="shared" si="9"/>
        <v>0.95864431573648878</v>
      </c>
      <c r="AG22" s="615"/>
    </row>
    <row r="23" spans="1:33" ht="15.75" customHeight="1">
      <c r="A23" s="642" t="s">
        <v>177</v>
      </c>
      <c r="B23" s="29" t="s">
        <v>15</v>
      </c>
      <c r="C23" s="640" t="s">
        <v>24</v>
      </c>
      <c r="D23" s="640"/>
      <c r="E23" s="29">
        <v>54.09</v>
      </c>
      <c r="F23" s="442">
        <v>1374</v>
      </c>
      <c r="G23" s="430">
        <f t="shared" ref="G23:G29" si="19">E23*F23</f>
        <v>74319.66</v>
      </c>
      <c r="H23" s="33" t="s">
        <v>57</v>
      </c>
      <c r="I23" s="440">
        <v>17</v>
      </c>
      <c r="J23" s="31">
        <v>1500</v>
      </c>
      <c r="K23" s="12">
        <f t="shared" si="1"/>
        <v>88.235294117647058</v>
      </c>
      <c r="L23" s="440">
        <v>17</v>
      </c>
      <c r="M23" s="13">
        <f t="shared" ref="M23:M29" si="20">F23/V23*60</f>
        <v>1446.3157894736842</v>
      </c>
      <c r="N23" s="12">
        <f t="shared" si="3"/>
        <v>85.077399380804948</v>
      </c>
      <c r="O23" s="14">
        <f t="shared" si="4"/>
        <v>0</v>
      </c>
      <c r="P23" s="15">
        <f t="shared" si="5"/>
        <v>-3.1578947368421098</v>
      </c>
      <c r="Q23" s="429">
        <f t="shared" si="6"/>
        <v>0.96421052631578941</v>
      </c>
      <c r="R23" s="615">
        <f>Q30</f>
        <v>0.95434236523908522</v>
      </c>
      <c r="S23" s="34">
        <v>0.20833333333333334</v>
      </c>
      <c r="T23" s="34">
        <v>0.24791666666666667</v>
      </c>
      <c r="U23" s="430"/>
      <c r="V23" s="441">
        <f t="shared" ref="V23:V29" si="21">(T23-S23)*24*60</f>
        <v>57</v>
      </c>
      <c r="W23" s="21"/>
      <c r="X23" s="21"/>
      <c r="Y23" s="21"/>
      <c r="Z23" s="21"/>
      <c r="AA23" s="617"/>
      <c r="AB23" s="617"/>
      <c r="AC23" s="35">
        <v>7</v>
      </c>
      <c r="AD23" s="18"/>
      <c r="AE23" s="14">
        <f t="shared" si="8"/>
        <v>-53.684210526315837</v>
      </c>
      <c r="AF23" s="429">
        <f t="shared" si="9"/>
        <v>0.96421052631578941</v>
      </c>
      <c r="AG23" s="615">
        <f>AF30</f>
        <v>0.95434236523908511</v>
      </c>
    </row>
    <row r="24" spans="1:33" ht="15.75" customHeight="1">
      <c r="A24" s="643" t="s">
        <v>2083</v>
      </c>
      <c r="B24" s="29" t="s">
        <v>15</v>
      </c>
      <c r="C24" s="640" t="s">
        <v>28</v>
      </c>
      <c r="D24" s="640"/>
      <c r="E24" s="29">
        <v>50.67</v>
      </c>
      <c r="F24" s="442">
        <v>2288</v>
      </c>
      <c r="G24" s="430">
        <f t="shared" si="19"/>
        <v>115932.96</v>
      </c>
      <c r="H24" s="33" t="s">
        <v>57</v>
      </c>
      <c r="I24" s="440">
        <v>17</v>
      </c>
      <c r="J24" s="31">
        <v>2000</v>
      </c>
      <c r="K24" s="12">
        <f t="shared" si="1"/>
        <v>117.64705882352941</v>
      </c>
      <c r="L24" s="440">
        <v>17</v>
      </c>
      <c r="M24" s="13">
        <f t="shared" si="20"/>
        <v>1906.6666666666672</v>
      </c>
      <c r="N24" s="12">
        <f t="shared" si="3"/>
        <v>112.15686274509807</v>
      </c>
      <c r="O24" s="14">
        <f t="shared" si="4"/>
        <v>0</v>
      </c>
      <c r="P24" s="15">
        <f t="shared" si="5"/>
        <v>-5.4901960784313388</v>
      </c>
      <c r="Q24" s="429">
        <f t="shared" si="6"/>
        <v>0.95333333333333359</v>
      </c>
      <c r="R24" s="615"/>
      <c r="S24" s="34">
        <v>0.25208333333333333</v>
      </c>
      <c r="T24" s="34">
        <v>0.30208333333333331</v>
      </c>
      <c r="U24" s="430">
        <f t="shared" ref="U24:U29" si="22">IF(S24=TIME(17,0,0),"",(S24-T23)*24*60)</f>
        <v>5.9999999999999787</v>
      </c>
      <c r="V24" s="441">
        <f t="shared" si="21"/>
        <v>71.999999999999986</v>
      </c>
      <c r="W24" s="16"/>
      <c r="X24" s="430"/>
      <c r="Y24" s="430"/>
      <c r="Z24" s="430"/>
      <c r="AA24" s="617"/>
      <c r="AB24" s="617"/>
      <c r="AC24" s="35"/>
      <c r="AD24" s="18"/>
      <c r="AE24" s="14">
        <f t="shared" si="8"/>
        <v>-93.333333333332803</v>
      </c>
      <c r="AF24" s="429">
        <f t="shared" si="9"/>
        <v>0.95333333333333359</v>
      </c>
      <c r="AG24" s="615"/>
    </row>
    <row r="25" spans="1:33" ht="15.75" customHeight="1">
      <c r="A25" s="643" t="s">
        <v>2083</v>
      </c>
      <c r="B25" s="29" t="s">
        <v>15</v>
      </c>
      <c r="C25" s="640" t="s">
        <v>29</v>
      </c>
      <c r="D25" s="640"/>
      <c r="E25" s="29">
        <v>57.73</v>
      </c>
      <c r="F25" s="442">
        <v>2739</v>
      </c>
      <c r="G25" s="430">
        <f t="shared" si="19"/>
        <v>158122.47</v>
      </c>
      <c r="H25" s="33" t="s">
        <v>57</v>
      </c>
      <c r="I25" s="440">
        <v>14</v>
      </c>
      <c r="J25" s="31">
        <v>2000</v>
      </c>
      <c r="K25" s="12">
        <f t="shared" si="1"/>
        <v>142.85714285714286</v>
      </c>
      <c r="L25" s="440">
        <v>14</v>
      </c>
      <c r="M25" s="13">
        <f t="shared" si="20"/>
        <v>1910.9302325581393</v>
      </c>
      <c r="N25" s="12">
        <f t="shared" si="3"/>
        <v>136.49501661129565</v>
      </c>
      <c r="O25" s="14">
        <f t="shared" si="4"/>
        <v>0</v>
      </c>
      <c r="P25" s="15">
        <f t="shared" si="5"/>
        <v>-6.3621262458472074</v>
      </c>
      <c r="Q25" s="429">
        <f t="shared" si="6"/>
        <v>0.9554651162790696</v>
      </c>
      <c r="R25" s="615"/>
      <c r="S25" s="34">
        <v>0.30694444444444441</v>
      </c>
      <c r="T25" s="34">
        <v>0.36666666666666664</v>
      </c>
      <c r="U25" s="430">
        <f t="shared" si="22"/>
        <v>6.9999999999999751</v>
      </c>
      <c r="V25" s="441">
        <f t="shared" si="21"/>
        <v>86.000000000000014</v>
      </c>
      <c r="W25" s="16"/>
      <c r="X25" s="430"/>
      <c r="Y25" s="430"/>
      <c r="Z25" s="430"/>
      <c r="AA25" s="617"/>
      <c r="AB25" s="617"/>
      <c r="AC25" s="35"/>
      <c r="AD25" s="18"/>
      <c r="AE25" s="14">
        <f t="shared" si="8"/>
        <v>-89.069767441860677</v>
      </c>
      <c r="AF25" s="429">
        <f t="shared" si="9"/>
        <v>0.95546511627906971</v>
      </c>
      <c r="AG25" s="615"/>
    </row>
    <row r="26" spans="1:33" ht="15.75" customHeight="1">
      <c r="A26" s="643" t="s">
        <v>2084</v>
      </c>
      <c r="B26" s="29" t="s">
        <v>15</v>
      </c>
      <c r="C26" s="640" t="s">
        <v>80</v>
      </c>
      <c r="D26" s="640"/>
      <c r="E26" s="29">
        <v>53.27</v>
      </c>
      <c r="F26" s="442">
        <v>1871</v>
      </c>
      <c r="G26" s="430">
        <f t="shared" si="19"/>
        <v>99668.170000000013</v>
      </c>
      <c r="H26" s="33" t="s">
        <v>57</v>
      </c>
      <c r="I26" s="440">
        <v>16</v>
      </c>
      <c r="J26" s="31">
        <v>2000</v>
      </c>
      <c r="K26" s="12">
        <f t="shared" si="1"/>
        <v>125</v>
      </c>
      <c r="L26" s="440">
        <v>16</v>
      </c>
      <c r="M26" s="13">
        <f t="shared" si="20"/>
        <v>1902.7118644067789</v>
      </c>
      <c r="N26" s="12">
        <f t="shared" si="3"/>
        <v>118.91949152542368</v>
      </c>
      <c r="O26" s="14">
        <f t="shared" si="4"/>
        <v>0</v>
      </c>
      <c r="P26" s="15">
        <f t="shared" si="5"/>
        <v>-6.0805084745763196</v>
      </c>
      <c r="Q26" s="429">
        <f t="shared" si="6"/>
        <v>0.95135593220338943</v>
      </c>
      <c r="R26" s="615"/>
      <c r="S26" s="34">
        <v>0.37152777777777773</v>
      </c>
      <c r="T26" s="34">
        <v>0.41249999999999998</v>
      </c>
      <c r="U26" s="430">
        <f t="shared" si="22"/>
        <v>6.9999999999999751</v>
      </c>
      <c r="V26" s="441">
        <f t="shared" si="21"/>
        <v>59.000000000000028</v>
      </c>
      <c r="W26" s="16"/>
      <c r="X26" s="430"/>
      <c r="Y26" s="430"/>
      <c r="Z26" s="430"/>
      <c r="AA26" s="617"/>
      <c r="AB26" s="617"/>
      <c r="AC26" s="35"/>
      <c r="AD26" s="18"/>
      <c r="AE26" s="14">
        <f t="shared" si="8"/>
        <v>-97.288135593221114</v>
      </c>
      <c r="AF26" s="429">
        <f t="shared" si="9"/>
        <v>0.95135593220338943</v>
      </c>
      <c r="AG26" s="615"/>
    </row>
    <row r="27" spans="1:33" ht="15.75" customHeight="1">
      <c r="A27" s="643" t="s">
        <v>177</v>
      </c>
      <c r="B27" s="29" t="s">
        <v>15</v>
      </c>
      <c r="C27" s="640" t="s">
        <v>1472</v>
      </c>
      <c r="D27" s="640"/>
      <c r="E27" s="29">
        <v>51.44</v>
      </c>
      <c r="F27" s="442">
        <v>2095</v>
      </c>
      <c r="G27" s="430">
        <f t="shared" si="19"/>
        <v>107766.79999999999</v>
      </c>
      <c r="H27" s="33" t="s">
        <v>57</v>
      </c>
      <c r="I27" s="440">
        <v>25</v>
      </c>
      <c r="J27" s="31">
        <v>2000</v>
      </c>
      <c r="K27" s="12">
        <f t="shared" si="1"/>
        <v>80</v>
      </c>
      <c r="L27" s="440">
        <v>25</v>
      </c>
      <c r="M27" s="13">
        <f t="shared" si="20"/>
        <v>1904.5454545454545</v>
      </c>
      <c r="N27" s="12">
        <f t="shared" si="3"/>
        <v>76.181818181818187</v>
      </c>
      <c r="O27" s="14">
        <f t="shared" si="4"/>
        <v>0</v>
      </c>
      <c r="P27" s="15">
        <f t="shared" si="5"/>
        <v>-3.818181818181813</v>
      </c>
      <c r="Q27" s="429">
        <f t="shared" si="6"/>
        <v>0.95227272727272738</v>
      </c>
      <c r="R27" s="615"/>
      <c r="S27" s="34">
        <v>0.41597222222222219</v>
      </c>
      <c r="T27" s="34">
        <v>0.46180555555555552</v>
      </c>
      <c r="U27" s="430">
        <f t="shared" si="22"/>
        <v>4.9999999999999822</v>
      </c>
      <c r="V27" s="441">
        <f t="shared" si="21"/>
        <v>66</v>
      </c>
      <c r="W27" s="16"/>
      <c r="X27" s="16"/>
      <c r="Y27" s="430"/>
      <c r="Z27" s="430"/>
      <c r="AA27" s="617"/>
      <c r="AB27" s="617"/>
      <c r="AC27" s="35"/>
      <c r="AD27" s="18"/>
      <c r="AE27" s="14">
        <f t="shared" si="8"/>
        <v>-95.454545454545496</v>
      </c>
      <c r="AF27" s="429">
        <f t="shared" si="9"/>
        <v>0.95227272727272727</v>
      </c>
      <c r="AG27" s="615"/>
    </row>
    <row r="28" spans="1:33" ht="15.75" customHeight="1">
      <c r="A28" s="643" t="s">
        <v>2083</v>
      </c>
      <c r="B28" s="29" t="s">
        <v>15</v>
      </c>
      <c r="C28" s="640" t="s">
        <v>30</v>
      </c>
      <c r="D28" s="640"/>
      <c r="E28" s="29">
        <v>50.49</v>
      </c>
      <c r="F28" s="442">
        <v>2034</v>
      </c>
      <c r="G28" s="430">
        <f t="shared" si="19"/>
        <v>102696.66</v>
      </c>
      <c r="H28" s="33" t="s">
        <v>57</v>
      </c>
      <c r="I28" s="440">
        <v>15</v>
      </c>
      <c r="J28" s="31">
        <v>2000</v>
      </c>
      <c r="K28" s="12">
        <f t="shared" si="1"/>
        <v>133.33333333333334</v>
      </c>
      <c r="L28" s="440">
        <v>15</v>
      </c>
      <c r="M28" s="13">
        <f t="shared" si="20"/>
        <v>1906.875000000002</v>
      </c>
      <c r="N28" s="12">
        <f t="shared" si="3"/>
        <v>127.12500000000014</v>
      </c>
      <c r="O28" s="14">
        <f t="shared" si="4"/>
        <v>0</v>
      </c>
      <c r="P28" s="15">
        <f t="shared" si="5"/>
        <v>-6.2083333333332007</v>
      </c>
      <c r="Q28" s="429">
        <f t="shared" si="6"/>
        <v>0.95343750000000105</v>
      </c>
      <c r="R28" s="615"/>
      <c r="S28" s="34">
        <v>0.70833333333333337</v>
      </c>
      <c r="T28" s="34">
        <v>0.75277777777777777</v>
      </c>
      <c r="U28" s="430" t="str">
        <f t="shared" si="22"/>
        <v/>
      </c>
      <c r="V28" s="441">
        <f t="shared" si="21"/>
        <v>63.999999999999929</v>
      </c>
      <c r="W28" s="16"/>
      <c r="X28" s="21"/>
      <c r="Y28" s="21"/>
      <c r="Z28" s="21"/>
      <c r="AA28" s="617"/>
      <c r="AB28" s="617"/>
      <c r="AC28" s="35"/>
      <c r="AD28" s="18"/>
      <c r="AE28" s="14">
        <f t="shared" si="8"/>
        <v>-93.124999999997954</v>
      </c>
      <c r="AF28" s="429">
        <f t="shared" si="9"/>
        <v>0.95343750000000105</v>
      </c>
      <c r="AG28" s="615"/>
    </row>
    <row r="29" spans="1:33" ht="15.75" customHeight="1">
      <c r="A29" s="643" t="s">
        <v>177</v>
      </c>
      <c r="B29" s="29" t="s">
        <v>15</v>
      </c>
      <c r="C29" s="666" t="s">
        <v>82</v>
      </c>
      <c r="D29" s="667"/>
      <c r="E29" s="29">
        <v>51.06</v>
      </c>
      <c r="F29" s="442">
        <v>3303</v>
      </c>
      <c r="G29" s="430">
        <f t="shared" si="19"/>
        <v>168651.18</v>
      </c>
      <c r="H29" s="33" t="s">
        <v>57</v>
      </c>
      <c r="I29" s="440">
        <v>13</v>
      </c>
      <c r="J29" s="31">
        <v>2000</v>
      </c>
      <c r="K29" s="12">
        <f t="shared" si="1"/>
        <v>153.84615384615384</v>
      </c>
      <c r="L29" s="440">
        <v>13</v>
      </c>
      <c r="M29" s="13">
        <f t="shared" si="20"/>
        <v>1905.576923076924</v>
      </c>
      <c r="N29" s="12">
        <f t="shared" si="3"/>
        <v>146.58284023668645</v>
      </c>
      <c r="O29" s="14">
        <f t="shared" si="4"/>
        <v>0</v>
      </c>
      <c r="P29" s="15">
        <f t="shared" si="5"/>
        <v>-7.2633136094673887</v>
      </c>
      <c r="Q29" s="429">
        <f t="shared" si="6"/>
        <v>0.95278846153846197</v>
      </c>
      <c r="R29" s="615"/>
      <c r="S29" s="34">
        <v>0.75624999999999998</v>
      </c>
      <c r="T29" s="34">
        <v>0.82847222222222217</v>
      </c>
      <c r="U29" s="430">
        <f t="shared" si="22"/>
        <v>4.9999999999999822</v>
      </c>
      <c r="V29" s="441">
        <f t="shared" si="21"/>
        <v>103.99999999999994</v>
      </c>
      <c r="W29" s="16"/>
      <c r="X29" s="21"/>
      <c r="Y29" s="22"/>
      <c r="Z29" s="22"/>
      <c r="AA29" s="624"/>
      <c r="AB29" s="625"/>
      <c r="AC29" s="35"/>
      <c r="AD29" s="18"/>
      <c r="AE29" s="14">
        <f t="shared" si="8"/>
        <v>-94.423076923075996</v>
      </c>
      <c r="AF29" s="429">
        <f t="shared" si="9"/>
        <v>0.95278846153846197</v>
      </c>
      <c r="AG29" s="615"/>
    </row>
    <row r="30" spans="1:33" ht="15.75" customHeight="1">
      <c r="A30" s="643" t="s">
        <v>2085</v>
      </c>
      <c r="B30" s="29" t="s">
        <v>175</v>
      </c>
      <c r="C30" s="618"/>
      <c r="D30" s="618"/>
      <c r="E30" s="431"/>
      <c r="F30" s="442"/>
      <c r="G30" s="430"/>
      <c r="H30" s="442"/>
      <c r="I30" s="23">
        <v>16.714285714285715</v>
      </c>
      <c r="J30" s="31">
        <v>1928.5714285714287</v>
      </c>
      <c r="K30" s="12">
        <f t="shared" si="1"/>
        <v>115.38461538461539</v>
      </c>
      <c r="L30" s="23">
        <v>16.714285714285715</v>
      </c>
      <c r="M30" s="13">
        <f>AVERAGE(M23:M29)</f>
        <v>1840.5174186753786</v>
      </c>
      <c r="N30" s="12">
        <f t="shared" si="3"/>
        <v>110.11642675835598</v>
      </c>
      <c r="O30" s="14">
        <f t="shared" si="4"/>
        <v>0</v>
      </c>
      <c r="P30" s="15">
        <f t="shared" si="5"/>
        <v>-5.268188626259402</v>
      </c>
      <c r="Q30" s="429">
        <f t="shared" si="6"/>
        <v>0.95434236523908522</v>
      </c>
      <c r="R30" s="615"/>
      <c r="S30" s="34"/>
      <c r="T30" s="34"/>
      <c r="U30" s="12"/>
      <c r="V30" s="441"/>
      <c r="W30" s="12"/>
      <c r="X30" s="12"/>
      <c r="Y30" s="24">
        <f>SUM(Y23:Y29)</f>
        <v>0</v>
      </c>
      <c r="Z30" s="24">
        <f>SUM(Z23:Z29)</f>
        <v>0</v>
      </c>
      <c r="AA30" s="614"/>
      <c r="AB30" s="614"/>
      <c r="AC30" s="24">
        <v>7</v>
      </c>
      <c r="AD30" s="24">
        <f>SUM(AD23:AD29)</f>
        <v>0</v>
      </c>
      <c r="AE30" s="14">
        <f t="shared" si="8"/>
        <v>-88.054009896050047</v>
      </c>
      <c r="AF30" s="429">
        <f t="shared" si="9"/>
        <v>0.95434236523908511</v>
      </c>
      <c r="AG30" s="615"/>
    </row>
    <row r="31" spans="1:33" ht="15.75" customHeight="1">
      <c r="A31" s="641" t="s">
        <v>2086</v>
      </c>
      <c r="B31" s="29" t="s">
        <v>32</v>
      </c>
      <c r="C31" s="640" t="s">
        <v>33</v>
      </c>
      <c r="D31" s="640"/>
      <c r="E31" s="29">
        <v>31.29</v>
      </c>
      <c r="F31" s="442">
        <v>4200</v>
      </c>
      <c r="G31" s="430">
        <f t="shared" ref="G31:G38" si="23">E31*F31</f>
        <v>131418</v>
      </c>
      <c r="H31" s="33">
        <v>2</v>
      </c>
      <c r="I31" s="440">
        <v>18</v>
      </c>
      <c r="J31" s="31">
        <v>2400</v>
      </c>
      <c r="K31" s="12">
        <f t="shared" si="1"/>
        <v>133.33333333333334</v>
      </c>
      <c r="L31" s="440">
        <v>18</v>
      </c>
      <c r="M31" s="13">
        <f t="shared" ref="M31:M38" si="24">F31/V31*60</f>
        <v>2290.909090909091</v>
      </c>
      <c r="N31" s="12">
        <f t="shared" si="3"/>
        <v>127.27272727272728</v>
      </c>
      <c r="O31" s="14">
        <f t="shared" si="4"/>
        <v>0</v>
      </c>
      <c r="P31" s="15">
        <f t="shared" si="5"/>
        <v>-6.0606060606060623</v>
      </c>
      <c r="Q31" s="429">
        <f t="shared" si="6"/>
        <v>0.95454545454545459</v>
      </c>
      <c r="R31" s="615">
        <f>Q39</f>
        <v>0.95622572988513566</v>
      </c>
      <c r="S31" s="34">
        <v>8.3333333333333329E-2</v>
      </c>
      <c r="T31" s="34">
        <v>0.15972222222222221</v>
      </c>
      <c r="U31" s="430"/>
      <c r="V31" s="441">
        <f t="shared" ref="V31:V38" si="25">(T31-S31)*24*60</f>
        <v>109.99999999999999</v>
      </c>
      <c r="W31" s="16">
        <f>T31</f>
        <v>0.15972222222222221</v>
      </c>
      <c r="X31" s="16">
        <f>S32</f>
        <v>0.17777777777777776</v>
      </c>
      <c r="Y31" s="16"/>
      <c r="Z31" s="16"/>
      <c r="AA31" s="617"/>
      <c r="AB31" s="617"/>
      <c r="AC31" s="35">
        <v>8</v>
      </c>
      <c r="AD31" s="18"/>
      <c r="AE31" s="14">
        <f t="shared" si="8"/>
        <v>-109.09090909090901</v>
      </c>
      <c r="AF31" s="429">
        <f t="shared" si="9"/>
        <v>0.95454545454545459</v>
      </c>
      <c r="AG31" s="615">
        <f>AF39</f>
        <v>0.95622572988513543</v>
      </c>
    </row>
    <row r="32" spans="1:33" ht="15.75" customHeight="1">
      <c r="A32" s="641" t="s">
        <v>2087</v>
      </c>
      <c r="B32" s="29" t="s">
        <v>32</v>
      </c>
      <c r="C32" s="640" t="s">
        <v>34</v>
      </c>
      <c r="D32" s="640"/>
      <c r="E32" s="29">
        <v>26.37</v>
      </c>
      <c r="F32" s="442">
        <v>6549</v>
      </c>
      <c r="G32" s="430">
        <f t="shared" si="23"/>
        <v>172697.13</v>
      </c>
      <c r="H32" s="33" t="s">
        <v>57</v>
      </c>
      <c r="I32" s="440">
        <v>18</v>
      </c>
      <c r="J32" s="31">
        <v>2400</v>
      </c>
      <c r="K32" s="12">
        <f t="shared" si="1"/>
        <v>133.33333333333334</v>
      </c>
      <c r="L32" s="440">
        <v>18</v>
      </c>
      <c r="M32" s="13">
        <f t="shared" si="24"/>
        <v>2284.5348837209299</v>
      </c>
      <c r="N32" s="12">
        <f t="shared" si="3"/>
        <v>126.91860465116277</v>
      </c>
      <c r="O32" s="14">
        <f t="shared" si="4"/>
        <v>0</v>
      </c>
      <c r="P32" s="15">
        <f t="shared" si="5"/>
        <v>-6.4147286821705762</v>
      </c>
      <c r="Q32" s="429">
        <f t="shared" si="6"/>
        <v>0.95188953488372063</v>
      </c>
      <c r="R32" s="615"/>
      <c r="S32" s="34">
        <v>0.17777777777777776</v>
      </c>
      <c r="T32" s="34">
        <v>0.29722222222222222</v>
      </c>
      <c r="U32" s="430">
        <f t="shared" ref="U32:U38" si="26">(S32-T31)*24*60</f>
        <v>25.999999999999986</v>
      </c>
      <c r="V32" s="441">
        <f t="shared" si="25"/>
        <v>172.00000000000003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-115.46511627907012</v>
      </c>
      <c r="AF32" s="429">
        <f t="shared" si="9"/>
        <v>0.95188953488372074</v>
      </c>
      <c r="AG32" s="615"/>
    </row>
    <row r="33" spans="1:33" ht="15.75" customHeight="1">
      <c r="A33" s="641" t="s">
        <v>10</v>
      </c>
      <c r="B33" s="29" t="s">
        <v>32</v>
      </c>
      <c r="C33" s="640" t="s">
        <v>76</v>
      </c>
      <c r="D33" s="640"/>
      <c r="E33" s="29">
        <v>26.18</v>
      </c>
      <c r="F33" s="442">
        <v>4700</v>
      </c>
      <c r="G33" s="430">
        <f t="shared" si="23"/>
        <v>123046</v>
      </c>
      <c r="H33" s="33">
        <v>2</v>
      </c>
      <c r="I33" s="440">
        <v>18</v>
      </c>
      <c r="J33" s="31">
        <v>2400</v>
      </c>
      <c r="K33" s="12">
        <f t="shared" si="1"/>
        <v>133.33333333333334</v>
      </c>
      <c r="L33" s="440">
        <v>18</v>
      </c>
      <c r="M33" s="13">
        <f t="shared" si="24"/>
        <v>2292.682926829269</v>
      </c>
      <c r="N33" s="12">
        <f t="shared" si="3"/>
        <v>127.37127371273716</v>
      </c>
      <c r="O33" s="14">
        <f t="shared" si="4"/>
        <v>0</v>
      </c>
      <c r="P33" s="15">
        <f t="shared" si="5"/>
        <v>-5.9620596205961789</v>
      </c>
      <c r="Q33" s="429">
        <f t="shared" si="6"/>
        <v>0.95528455284552871</v>
      </c>
      <c r="R33" s="615"/>
      <c r="S33" s="34">
        <v>0.30277777777777776</v>
      </c>
      <c r="T33" s="34">
        <v>0.3881944444444444</v>
      </c>
      <c r="U33" s="430">
        <f t="shared" si="26"/>
        <v>7.9999999999999716</v>
      </c>
      <c r="V33" s="441">
        <f t="shared" si="25"/>
        <v>122.99999999999996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-107.31707317073096</v>
      </c>
      <c r="AF33" s="429">
        <f t="shared" si="9"/>
        <v>0.95528455284552871</v>
      </c>
      <c r="AG33" s="615"/>
    </row>
    <row r="34" spans="1:33" ht="15.75" customHeight="1">
      <c r="A34" s="641" t="s">
        <v>10</v>
      </c>
      <c r="B34" s="29" t="s">
        <v>32</v>
      </c>
      <c r="C34" s="640" t="s">
        <v>79</v>
      </c>
      <c r="D34" s="640"/>
      <c r="E34" s="29">
        <v>25.99</v>
      </c>
      <c r="F34" s="442">
        <v>1918</v>
      </c>
      <c r="G34" s="430">
        <f t="shared" si="23"/>
        <v>49848.82</v>
      </c>
      <c r="H34" s="33" t="s">
        <v>57</v>
      </c>
      <c r="I34" s="440">
        <v>18</v>
      </c>
      <c r="J34" s="31">
        <v>2400</v>
      </c>
      <c r="K34" s="12">
        <f t="shared" si="1"/>
        <v>133.33333333333334</v>
      </c>
      <c r="L34" s="440">
        <v>18</v>
      </c>
      <c r="M34" s="13">
        <f t="shared" si="24"/>
        <v>2301.6000000000008</v>
      </c>
      <c r="N34" s="12">
        <f t="shared" si="3"/>
        <v>127.86666666666672</v>
      </c>
      <c r="O34" s="14">
        <f t="shared" si="4"/>
        <v>0</v>
      </c>
      <c r="P34" s="15">
        <f t="shared" si="5"/>
        <v>-5.4666666666666259</v>
      </c>
      <c r="Q34" s="429">
        <f t="shared" si="6"/>
        <v>0.9590000000000003</v>
      </c>
      <c r="R34" s="615"/>
      <c r="S34" s="34">
        <v>0.39305555555555549</v>
      </c>
      <c r="T34" s="34">
        <v>0.4277777777777777</v>
      </c>
      <c r="U34" s="430">
        <f t="shared" si="26"/>
        <v>6.9999999999999751</v>
      </c>
      <c r="V34" s="441">
        <f t="shared" si="25"/>
        <v>49.999999999999986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-98.399999999999181</v>
      </c>
      <c r="AF34" s="429">
        <f t="shared" si="9"/>
        <v>0.9590000000000003</v>
      </c>
      <c r="AG34" s="615"/>
    </row>
    <row r="35" spans="1:33" ht="15.75" customHeight="1">
      <c r="A35" s="641" t="s">
        <v>2086</v>
      </c>
      <c r="B35" s="29" t="s">
        <v>32</v>
      </c>
      <c r="C35" s="640" t="s">
        <v>35</v>
      </c>
      <c r="D35" s="640"/>
      <c r="E35" s="29">
        <v>25.99</v>
      </c>
      <c r="F35" s="442">
        <v>4375</v>
      </c>
      <c r="G35" s="430">
        <f t="shared" si="23"/>
        <v>113706.25</v>
      </c>
      <c r="H35" s="33" t="s">
        <v>57</v>
      </c>
      <c r="I35" s="440">
        <v>14</v>
      </c>
      <c r="J35" s="31">
        <v>2400</v>
      </c>
      <c r="K35" s="12">
        <f t="shared" si="1"/>
        <v>171.42857142857142</v>
      </c>
      <c r="L35" s="440">
        <v>14</v>
      </c>
      <c r="M35" s="13">
        <f t="shared" si="24"/>
        <v>2302.6315789473701</v>
      </c>
      <c r="N35" s="12">
        <f t="shared" si="3"/>
        <v>164.47368421052644</v>
      </c>
      <c r="O35" s="14">
        <f t="shared" si="4"/>
        <v>0</v>
      </c>
      <c r="P35" s="15">
        <f t="shared" si="5"/>
        <v>-6.9548872180449735</v>
      </c>
      <c r="Q35" s="429">
        <f t="shared" si="6"/>
        <v>0.95942982456140435</v>
      </c>
      <c r="R35" s="615"/>
      <c r="S35" s="34">
        <v>0.43124999999999991</v>
      </c>
      <c r="T35" s="34">
        <v>0.51041666666666652</v>
      </c>
      <c r="U35" s="430">
        <f t="shared" si="26"/>
        <v>4.9999999999999822</v>
      </c>
      <c r="V35" s="441">
        <f t="shared" si="25"/>
        <v>113.99999999999991</v>
      </c>
      <c r="W35" s="16">
        <f>T35</f>
        <v>0.51041666666666652</v>
      </c>
      <c r="X35" s="16">
        <f>S36</f>
        <v>0.54999999999999982</v>
      </c>
      <c r="Y35" s="16"/>
      <c r="Z35" s="16"/>
      <c r="AA35" s="617"/>
      <c r="AB35" s="617"/>
      <c r="AC35" s="35"/>
      <c r="AD35" s="18"/>
      <c r="AE35" s="14">
        <f t="shared" si="8"/>
        <v>-97.368421052629856</v>
      </c>
      <c r="AF35" s="429">
        <f t="shared" si="9"/>
        <v>0.95942982456140424</v>
      </c>
      <c r="AG35" s="615"/>
    </row>
    <row r="36" spans="1:33" ht="15.75" customHeight="1">
      <c r="A36" s="641" t="s">
        <v>10</v>
      </c>
      <c r="B36" s="29" t="s">
        <v>32</v>
      </c>
      <c r="C36" s="640" t="s">
        <v>33</v>
      </c>
      <c r="D36" s="640"/>
      <c r="E36" s="29">
        <v>31.29</v>
      </c>
      <c r="F36" s="442">
        <v>5997</v>
      </c>
      <c r="G36" s="430">
        <f t="shared" si="23"/>
        <v>187646.13</v>
      </c>
      <c r="H36" s="33" t="s">
        <v>57</v>
      </c>
      <c r="I36" s="440">
        <v>18</v>
      </c>
      <c r="J36" s="31">
        <v>2400</v>
      </c>
      <c r="K36" s="12">
        <f t="shared" si="1"/>
        <v>133.33333333333334</v>
      </c>
      <c r="L36" s="440">
        <v>18</v>
      </c>
      <c r="M36" s="13">
        <f t="shared" si="24"/>
        <v>2291.8471337579631</v>
      </c>
      <c r="N36" s="12">
        <f t="shared" si="3"/>
        <v>127.32484076433128</v>
      </c>
      <c r="O36" s="14">
        <f t="shared" si="4"/>
        <v>0</v>
      </c>
      <c r="P36" s="15">
        <f t="shared" si="5"/>
        <v>-6.0084925690020583</v>
      </c>
      <c r="Q36" s="429">
        <f t="shared" si="6"/>
        <v>0.95493630573248456</v>
      </c>
      <c r="R36" s="615"/>
      <c r="S36" s="34">
        <v>0.54999999999999982</v>
      </c>
      <c r="T36" s="34">
        <v>0.65902777777777755</v>
      </c>
      <c r="U36" s="430">
        <f t="shared" si="26"/>
        <v>56.999999999999957</v>
      </c>
      <c r="V36" s="441">
        <f t="shared" si="25"/>
        <v>156.99999999999991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-108.15286624203691</v>
      </c>
      <c r="AF36" s="429">
        <f t="shared" si="9"/>
        <v>0.95493630573248467</v>
      </c>
      <c r="AG36" s="615"/>
    </row>
    <row r="37" spans="1:33" ht="15.75" customHeight="1">
      <c r="A37" s="641" t="s">
        <v>10</v>
      </c>
      <c r="B37" s="29" t="s">
        <v>32</v>
      </c>
      <c r="C37" s="640" t="s">
        <v>76</v>
      </c>
      <c r="D37" s="640"/>
      <c r="E37" s="29">
        <v>26.18</v>
      </c>
      <c r="F37" s="442">
        <v>3611</v>
      </c>
      <c r="G37" s="430">
        <f t="shared" si="23"/>
        <v>94535.98</v>
      </c>
      <c r="H37" s="33" t="s">
        <v>57</v>
      </c>
      <c r="I37" s="440">
        <v>18</v>
      </c>
      <c r="J37" s="31">
        <v>2400</v>
      </c>
      <c r="K37" s="12">
        <f t="shared" si="1"/>
        <v>133.33333333333334</v>
      </c>
      <c r="L37" s="440">
        <v>18</v>
      </c>
      <c r="M37" s="13">
        <f t="shared" si="24"/>
        <v>2304.8936170212769</v>
      </c>
      <c r="N37" s="12">
        <f t="shared" si="3"/>
        <v>128.04964539007094</v>
      </c>
      <c r="O37" s="14">
        <f t="shared" si="4"/>
        <v>0</v>
      </c>
      <c r="P37" s="15">
        <f t="shared" si="5"/>
        <v>-5.2836879432624073</v>
      </c>
      <c r="Q37" s="429">
        <f t="shared" si="6"/>
        <v>0.96037234042553199</v>
      </c>
      <c r="R37" s="615"/>
      <c r="S37" s="34">
        <v>0.66249999999999976</v>
      </c>
      <c r="T37" s="34">
        <v>0.72777777777777752</v>
      </c>
      <c r="U37" s="430">
        <f t="shared" si="26"/>
        <v>4.9999999999999822</v>
      </c>
      <c r="V37" s="441">
        <f t="shared" si="25"/>
        <v>93.999999999999986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-95.106382978723104</v>
      </c>
      <c r="AF37" s="429">
        <f t="shared" si="9"/>
        <v>0.96037234042553199</v>
      </c>
      <c r="AG37" s="615"/>
    </row>
    <row r="38" spans="1:33" ht="15.75" customHeight="1">
      <c r="A38" s="641" t="s">
        <v>10</v>
      </c>
      <c r="B38" s="29" t="s">
        <v>32</v>
      </c>
      <c r="C38" s="438" t="s">
        <v>77</v>
      </c>
      <c r="D38" s="439"/>
      <c r="E38" s="29">
        <v>26.18</v>
      </c>
      <c r="F38" s="442">
        <v>2634</v>
      </c>
      <c r="G38" s="430">
        <f t="shared" si="23"/>
        <v>68958.12</v>
      </c>
      <c r="H38" s="33" t="s">
        <v>57</v>
      </c>
      <c r="I38" s="440">
        <v>20</v>
      </c>
      <c r="J38" s="31">
        <v>2400</v>
      </c>
      <c r="K38" s="12">
        <f t="shared" si="1"/>
        <v>120</v>
      </c>
      <c r="L38" s="440">
        <v>20</v>
      </c>
      <c r="M38" s="13">
        <f t="shared" si="24"/>
        <v>2290.4347826086987</v>
      </c>
      <c r="N38" s="12">
        <f t="shared" si="3"/>
        <v>114.52173913043494</v>
      </c>
      <c r="O38" s="14">
        <f t="shared" si="4"/>
        <v>0</v>
      </c>
      <c r="P38" s="15">
        <f t="shared" si="5"/>
        <v>-5.4782608695650623</v>
      </c>
      <c r="Q38" s="429">
        <f t="shared" si="6"/>
        <v>0.95434782608695778</v>
      </c>
      <c r="R38" s="615"/>
      <c r="S38" s="34">
        <v>0.73263888888888862</v>
      </c>
      <c r="T38" s="34">
        <v>0.78055555555555522</v>
      </c>
      <c r="U38" s="430">
        <f t="shared" si="26"/>
        <v>6.9999999999999751</v>
      </c>
      <c r="V38" s="441">
        <f t="shared" si="25"/>
        <v>68.999999999999915</v>
      </c>
      <c r="W38" s="16"/>
      <c r="X38" s="16"/>
      <c r="Y38" s="16"/>
      <c r="Z38" s="16"/>
      <c r="AA38" s="436"/>
      <c r="AB38" s="437"/>
      <c r="AC38" s="35"/>
      <c r="AD38" s="18"/>
      <c r="AE38" s="14">
        <f t="shared" si="8"/>
        <v>-109.5652173913013</v>
      </c>
      <c r="AF38" s="429">
        <f t="shared" si="9"/>
        <v>0.95434782608695778</v>
      </c>
      <c r="AG38" s="615"/>
    </row>
    <row r="39" spans="1:33" ht="15.75" customHeight="1">
      <c r="A39" s="641" t="s">
        <v>10</v>
      </c>
      <c r="B39" s="29" t="s">
        <v>175</v>
      </c>
      <c r="C39" s="618"/>
      <c r="D39" s="618"/>
      <c r="E39" s="431"/>
      <c r="F39" s="442"/>
      <c r="G39" s="430"/>
      <c r="H39" s="442"/>
      <c r="I39" s="23">
        <v>17.75</v>
      </c>
      <c r="J39" s="31">
        <v>2400</v>
      </c>
      <c r="K39" s="12">
        <f t="shared" si="1"/>
        <v>135.21126760563379</v>
      </c>
      <c r="L39" s="23">
        <v>17.75</v>
      </c>
      <c r="M39" s="13">
        <f>AVERAGE(M31:M38)</f>
        <v>2294.9417517243251</v>
      </c>
      <c r="N39" s="12">
        <f t="shared" si="3"/>
        <v>129.29249305489157</v>
      </c>
      <c r="O39" s="14">
        <f t="shared" si="4"/>
        <v>0</v>
      </c>
      <c r="P39" s="15">
        <f t="shared" si="5"/>
        <v>-5.9187745507422278</v>
      </c>
      <c r="Q39" s="429">
        <f t="shared" si="6"/>
        <v>0.95622572988513566</v>
      </c>
      <c r="R39" s="615"/>
      <c r="S39" s="34"/>
      <c r="T39" s="34"/>
      <c r="U39" s="430"/>
      <c r="V39" s="441"/>
      <c r="W39" s="430"/>
      <c r="X39" s="430"/>
      <c r="Y39" s="24">
        <f>SUM(Y31:Y38)</f>
        <v>0</v>
      </c>
      <c r="Z39" s="24">
        <f>SUM(Z31:Z38)</f>
        <v>0</v>
      </c>
      <c r="AA39" s="614"/>
      <c r="AB39" s="614"/>
      <c r="AC39" s="24">
        <v>8</v>
      </c>
      <c r="AD39" s="24">
        <f>SUM(AD31:AD38)</f>
        <v>0</v>
      </c>
      <c r="AE39" s="14">
        <f t="shared" si="8"/>
        <v>-105.05824827567494</v>
      </c>
      <c r="AF39" s="429">
        <f t="shared" si="9"/>
        <v>0.95622572988513543</v>
      </c>
      <c r="AG39" s="615"/>
    </row>
    <row r="40" spans="1:33" ht="15.75" customHeight="1">
      <c r="A40" s="638" t="s">
        <v>2088</v>
      </c>
      <c r="B40" s="29" t="s">
        <v>32</v>
      </c>
      <c r="C40" s="616" t="s">
        <v>77</v>
      </c>
      <c r="D40" s="616"/>
      <c r="E40" s="29">
        <v>26.18</v>
      </c>
      <c r="F40" s="442">
        <v>3700</v>
      </c>
      <c r="G40" s="430">
        <f t="shared" ref="G40:G47" si="27">E40*F40</f>
        <v>96866</v>
      </c>
      <c r="H40" s="33">
        <v>2</v>
      </c>
      <c r="I40" s="440">
        <v>20</v>
      </c>
      <c r="J40" s="31">
        <v>2400</v>
      </c>
      <c r="K40" s="12">
        <f t="shared" si="1"/>
        <v>120</v>
      </c>
      <c r="L40" s="440">
        <v>20</v>
      </c>
      <c r="M40" s="13">
        <f t="shared" ref="M40:M47" si="28">F40/V40*60</f>
        <v>2288.6597938144328</v>
      </c>
      <c r="N40" s="12">
        <f t="shared" si="3"/>
        <v>114.43298969072164</v>
      </c>
      <c r="O40" s="14">
        <f t="shared" si="4"/>
        <v>0</v>
      </c>
      <c r="P40" s="15">
        <f t="shared" si="5"/>
        <v>-5.5670103092783592</v>
      </c>
      <c r="Q40" s="429">
        <f t="shared" si="6"/>
        <v>0.95360824742268036</v>
      </c>
      <c r="R40" s="615">
        <f>Q48</f>
        <v>0.95599610473751562</v>
      </c>
      <c r="S40" s="34">
        <v>8.3333333333333329E-2</v>
      </c>
      <c r="T40" s="34">
        <v>0.15069444444444444</v>
      </c>
      <c r="U40" s="430"/>
      <c r="V40" s="441">
        <f t="shared" ref="V40:V47" si="29">(T40-S40)*24*60</f>
        <v>97</v>
      </c>
      <c r="W40" s="21">
        <f>T40</f>
        <v>0.15069444444444444</v>
      </c>
      <c r="X40" s="21">
        <f>S41</f>
        <v>0.16874999999999998</v>
      </c>
      <c r="Y40" s="21"/>
      <c r="Z40" s="21"/>
      <c r="AA40" s="617"/>
      <c r="AB40" s="617"/>
      <c r="AC40" s="35">
        <v>8</v>
      </c>
      <c r="AD40" s="18"/>
      <c r="AE40" s="14">
        <f t="shared" si="8"/>
        <v>-111.34020618556724</v>
      </c>
      <c r="AF40" s="429">
        <f t="shared" si="9"/>
        <v>0.95360824742268036</v>
      </c>
      <c r="AG40" s="615">
        <f>AF48</f>
        <v>0.95599610473751562</v>
      </c>
    </row>
    <row r="41" spans="1:33" ht="15.75" customHeight="1">
      <c r="A41" s="638" t="s">
        <v>2089</v>
      </c>
      <c r="B41" s="29" t="s">
        <v>32</v>
      </c>
      <c r="C41" s="616" t="s">
        <v>37</v>
      </c>
      <c r="D41" s="616"/>
      <c r="E41" s="29">
        <v>24.43</v>
      </c>
      <c r="F41" s="442">
        <v>2800</v>
      </c>
      <c r="G41" s="430">
        <f t="shared" si="27"/>
        <v>68404</v>
      </c>
      <c r="H41" s="33">
        <v>2</v>
      </c>
      <c r="I41" s="440">
        <v>14</v>
      </c>
      <c r="J41" s="31">
        <v>2400</v>
      </c>
      <c r="K41" s="12">
        <f t="shared" si="1"/>
        <v>171.42857142857142</v>
      </c>
      <c r="L41" s="440">
        <v>14</v>
      </c>
      <c r="M41" s="13">
        <f t="shared" si="28"/>
        <v>2301.3698630136987</v>
      </c>
      <c r="N41" s="12">
        <f t="shared" si="3"/>
        <v>164.38356164383563</v>
      </c>
      <c r="O41" s="14">
        <f t="shared" si="4"/>
        <v>0</v>
      </c>
      <c r="P41" s="15">
        <f t="shared" si="5"/>
        <v>-7.0450097847357824</v>
      </c>
      <c r="Q41" s="429">
        <f t="shared" si="6"/>
        <v>0.95890410958904126</v>
      </c>
      <c r="R41" s="615"/>
      <c r="S41" s="34">
        <v>0.16874999999999998</v>
      </c>
      <c r="T41" s="34">
        <v>0.21944444444444441</v>
      </c>
      <c r="U41" s="430">
        <f t="shared" ref="U41:U47" si="30">(S41-T40)*24*60</f>
        <v>25.999999999999986</v>
      </c>
      <c r="V41" s="441">
        <f t="shared" si="29"/>
        <v>72.999999999999986</v>
      </c>
      <c r="W41" s="430"/>
      <c r="X41" s="430"/>
      <c r="Y41" s="430"/>
      <c r="Z41" s="430"/>
      <c r="AA41" s="617"/>
      <c r="AB41" s="617"/>
      <c r="AC41" s="35"/>
      <c r="AD41" s="18"/>
      <c r="AE41" s="14">
        <f t="shared" si="8"/>
        <v>-98.630136986301295</v>
      </c>
      <c r="AF41" s="429">
        <f t="shared" si="9"/>
        <v>0.95890410958904115</v>
      </c>
      <c r="AG41" s="615"/>
    </row>
    <row r="42" spans="1:33">
      <c r="A42" s="639" t="s">
        <v>2088</v>
      </c>
      <c r="B42" s="29" t="s">
        <v>32</v>
      </c>
      <c r="C42" s="616" t="s">
        <v>2090</v>
      </c>
      <c r="D42" s="616"/>
      <c r="E42" s="29">
        <v>25.98</v>
      </c>
      <c r="F42" s="442">
        <v>5800</v>
      </c>
      <c r="G42" s="430">
        <f t="shared" si="27"/>
        <v>150684</v>
      </c>
      <c r="H42" s="33">
        <v>2</v>
      </c>
      <c r="I42" s="440">
        <v>20</v>
      </c>
      <c r="J42" s="31">
        <v>2400</v>
      </c>
      <c r="K42" s="12">
        <f t="shared" si="1"/>
        <v>120</v>
      </c>
      <c r="L42" s="440">
        <v>20</v>
      </c>
      <c r="M42" s="13">
        <f t="shared" si="28"/>
        <v>2289.4736842105262</v>
      </c>
      <c r="N42" s="12">
        <f t="shared" si="3"/>
        <v>114.47368421052632</v>
      </c>
      <c r="O42" s="14">
        <f t="shared" si="4"/>
        <v>0</v>
      </c>
      <c r="P42" s="15">
        <f t="shared" si="5"/>
        <v>-5.526315789473685</v>
      </c>
      <c r="Q42" s="429">
        <f t="shared" si="6"/>
        <v>0.95394736842105265</v>
      </c>
      <c r="R42" s="615"/>
      <c r="S42" s="34">
        <v>0.22291666666666662</v>
      </c>
      <c r="T42" s="34">
        <v>0.32847222222222217</v>
      </c>
      <c r="U42" s="430">
        <f t="shared" si="30"/>
        <v>4.9999999999999822</v>
      </c>
      <c r="V42" s="441">
        <f t="shared" si="29"/>
        <v>152</v>
      </c>
      <c r="W42" s="430"/>
      <c r="X42" s="430"/>
      <c r="Y42" s="430"/>
      <c r="Z42" s="430"/>
      <c r="AA42" s="617"/>
      <c r="AB42" s="617"/>
      <c r="AC42" s="35"/>
      <c r="AD42" s="18"/>
      <c r="AE42" s="14">
        <f t="shared" si="8"/>
        <v>-110.52631578947376</v>
      </c>
      <c r="AF42" s="429">
        <f t="shared" si="9"/>
        <v>0.95394736842105265</v>
      </c>
      <c r="AG42" s="615"/>
    </row>
    <row r="43" spans="1:33">
      <c r="A43" s="639" t="s">
        <v>11</v>
      </c>
      <c r="B43" s="29" t="s">
        <v>32</v>
      </c>
      <c r="C43" s="616" t="s">
        <v>39</v>
      </c>
      <c r="D43" s="616"/>
      <c r="E43" s="29">
        <v>34.1</v>
      </c>
      <c r="F43" s="442">
        <v>3800</v>
      </c>
      <c r="G43" s="430">
        <f t="shared" si="27"/>
        <v>129580</v>
      </c>
      <c r="H43" s="33">
        <v>2</v>
      </c>
      <c r="I43" s="440">
        <v>17</v>
      </c>
      <c r="J43" s="31">
        <v>1600</v>
      </c>
      <c r="K43" s="12">
        <f t="shared" si="1"/>
        <v>94.117647058823536</v>
      </c>
      <c r="L43" s="440">
        <v>17</v>
      </c>
      <c r="M43" s="13">
        <f t="shared" si="28"/>
        <v>1530.2013422818789</v>
      </c>
      <c r="N43" s="12">
        <f t="shared" si="3"/>
        <v>90.011843663639937</v>
      </c>
      <c r="O43" s="14">
        <f t="shared" si="4"/>
        <v>0</v>
      </c>
      <c r="P43" s="15">
        <f t="shared" si="5"/>
        <v>-4.1058033951835995</v>
      </c>
      <c r="Q43" s="429">
        <f t="shared" si="6"/>
        <v>0.95637583892617428</v>
      </c>
      <c r="R43" s="615"/>
      <c r="S43" s="34">
        <v>0.33194444444444438</v>
      </c>
      <c r="T43" s="34">
        <v>0.43541666666666662</v>
      </c>
      <c r="U43" s="430">
        <f t="shared" si="30"/>
        <v>4.9999999999999822</v>
      </c>
      <c r="V43" s="441">
        <f t="shared" si="29"/>
        <v>149.00000000000003</v>
      </c>
      <c r="W43" s="16"/>
      <c r="X43" s="16"/>
      <c r="Y43" s="16"/>
      <c r="Z43" s="16"/>
      <c r="AA43" s="617"/>
      <c r="AB43" s="617"/>
      <c r="AC43" s="35"/>
      <c r="AD43" s="18"/>
      <c r="AE43" s="14">
        <f t="shared" si="8"/>
        <v>-69.798657718121149</v>
      </c>
      <c r="AF43" s="429">
        <f t="shared" si="9"/>
        <v>0.95637583892617428</v>
      </c>
      <c r="AG43" s="615"/>
    </row>
    <row r="44" spans="1:33">
      <c r="A44" s="639" t="s">
        <v>2088</v>
      </c>
      <c r="B44" s="29" t="s">
        <v>32</v>
      </c>
      <c r="C44" s="616" t="s">
        <v>84</v>
      </c>
      <c r="D44" s="616"/>
      <c r="E44" s="29">
        <v>20.21</v>
      </c>
      <c r="F44" s="442">
        <v>3565</v>
      </c>
      <c r="G44" s="430">
        <f t="shared" si="27"/>
        <v>72048.650000000009</v>
      </c>
      <c r="H44" s="33" t="s">
        <v>57</v>
      </c>
      <c r="I44" s="440">
        <v>18</v>
      </c>
      <c r="J44" s="31">
        <v>2400</v>
      </c>
      <c r="K44" s="12">
        <f t="shared" si="1"/>
        <v>133.33333333333334</v>
      </c>
      <c r="L44" s="440">
        <v>18</v>
      </c>
      <c r="M44" s="13">
        <f t="shared" si="28"/>
        <v>2299.9999999999986</v>
      </c>
      <c r="N44" s="12">
        <f t="shared" si="3"/>
        <v>127.7777777777777</v>
      </c>
      <c r="O44" s="14">
        <f t="shared" si="4"/>
        <v>0</v>
      </c>
      <c r="P44" s="15">
        <f t="shared" si="5"/>
        <v>-5.5555555555556424</v>
      </c>
      <c r="Q44" s="429">
        <f t="shared" si="6"/>
        <v>0.9583333333333327</v>
      </c>
      <c r="R44" s="615"/>
      <c r="S44" s="34">
        <v>0.43888888888888883</v>
      </c>
      <c r="T44" s="34">
        <v>0.50347222222222221</v>
      </c>
      <c r="U44" s="430">
        <f t="shared" si="30"/>
        <v>4.9999999999999822</v>
      </c>
      <c r="V44" s="441">
        <f t="shared" si="29"/>
        <v>93.000000000000071</v>
      </c>
      <c r="W44" s="16">
        <f>T44</f>
        <v>0.50347222222222221</v>
      </c>
      <c r="X44" s="16">
        <f>S45</f>
        <v>0.54513888888888884</v>
      </c>
      <c r="Y44" s="16"/>
      <c r="Z44" s="16"/>
      <c r="AA44" s="617"/>
      <c r="AB44" s="617"/>
      <c r="AC44" s="35"/>
      <c r="AD44" s="18"/>
      <c r="AE44" s="14">
        <f t="shared" si="8"/>
        <v>-100.00000000000136</v>
      </c>
      <c r="AF44" s="429">
        <f t="shared" si="9"/>
        <v>0.95833333333333282</v>
      </c>
      <c r="AG44" s="615"/>
    </row>
    <row r="45" spans="1:33">
      <c r="A45" s="639" t="s">
        <v>2089</v>
      </c>
      <c r="B45" s="29" t="s">
        <v>32</v>
      </c>
      <c r="C45" s="616" t="s">
        <v>37</v>
      </c>
      <c r="D45" s="616"/>
      <c r="E45" s="29">
        <v>24.43</v>
      </c>
      <c r="F45" s="442">
        <v>4468</v>
      </c>
      <c r="G45" s="430">
        <f t="shared" si="27"/>
        <v>109153.24</v>
      </c>
      <c r="H45" s="33" t="s">
        <v>57</v>
      </c>
      <c r="I45" s="440">
        <v>14</v>
      </c>
      <c r="J45" s="31">
        <v>2400</v>
      </c>
      <c r="K45" s="12">
        <f t="shared" si="1"/>
        <v>171.42857142857142</v>
      </c>
      <c r="L45" s="440">
        <v>14</v>
      </c>
      <c r="M45" s="13">
        <f t="shared" si="28"/>
        <v>2291.2820512820499</v>
      </c>
      <c r="N45" s="12">
        <f t="shared" si="3"/>
        <v>163.66300366300356</v>
      </c>
      <c r="O45" s="14">
        <f t="shared" si="4"/>
        <v>0</v>
      </c>
      <c r="P45" s="15">
        <f t="shared" si="5"/>
        <v>-7.7655677655678517</v>
      </c>
      <c r="Q45" s="429">
        <f t="shared" si="6"/>
        <v>0.9547008547008542</v>
      </c>
      <c r="R45" s="615"/>
      <c r="S45" s="34">
        <v>0.54513888888888884</v>
      </c>
      <c r="T45" s="34">
        <v>0.62638888888888888</v>
      </c>
      <c r="U45" s="430">
        <f t="shared" si="30"/>
        <v>59.999999999999943</v>
      </c>
      <c r="V45" s="441">
        <f t="shared" si="29"/>
        <v>117.00000000000006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-108.71794871795009</v>
      </c>
      <c r="AF45" s="429">
        <f t="shared" si="9"/>
        <v>0.95470085470085408</v>
      </c>
      <c r="AG45" s="615"/>
    </row>
    <row r="46" spans="1:33">
      <c r="A46" s="639" t="s">
        <v>11</v>
      </c>
      <c r="B46" s="29" t="s">
        <v>32</v>
      </c>
      <c r="C46" s="616" t="s">
        <v>39</v>
      </c>
      <c r="D46" s="616"/>
      <c r="E46" s="29">
        <v>34.1</v>
      </c>
      <c r="F46" s="442">
        <v>2930</v>
      </c>
      <c r="G46" s="430">
        <f t="shared" si="27"/>
        <v>99913</v>
      </c>
      <c r="H46" s="33" t="s">
        <v>57</v>
      </c>
      <c r="I46" s="440">
        <v>17</v>
      </c>
      <c r="J46" s="31">
        <v>1600</v>
      </c>
      <c r="K46" s="12">
        <f t="shared" si="1"/>
        <v>94.117647058823536</v>
      </c>
      <c r="L46" s="440">
        <v>17</v>
      </c>
      <c r="M46" s="13">
        <f t="shared" si="28"/>
        <v>1528.6956521739121</v>
      </c>
      <c r="N46" s="12">
        <f t="shared" si="3"/>
        <v>89.923273657288945</v>
      </c>
      <c r="O46" s="14">
        <f t="shared" si="4"/>
        <v>0</v>
      </c>
      <c r="P46" s="15">
        <f t="shared" si="5"/>
        <v>-4.194373401534591</v>
      </c>
      <c r="Q46" s="429">
        <f t="shared" si="6"/>
        <v>0.95543478260869497</v>
      </c>
      <c r="R46" s="615"/>
      <c r="S46" s="34">
        <v>0.62986111111111109</v>
      </c>
      <c r="T46" s="34">
        <v>0.70972222222222225</v>
      </c>
      <c r="U46" s="430">
        <f t="shared" si="30"/>
        <v>4.9999999999999822</v>
      </c>
      <c r="V46" s="441">
        <f t="shared" si="29"/>
        <v>115.00000000000007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-71.304347826087906</v>
      </c>
      <c r="AF46" s="429">
        <f t="shared" si="9"/>
        <v>0.95543478260869508</v>
      </c>
      <c r="AG46" s="615"/>
    </row>
    <row r="47" spans="1:33">
      <c r="A47" s="639" t="s">
        <v>11</v>
      </c>
      <c r="B47" s="29" t="s">
        <v>32</v>
      </c>
      <c r="C47" s="616" t="s">
        <v>2090</v>
      </c>
      <c r="D47" s="616"/>
      <c r="E47" s="29">
        <v>25.98</v>
      </c>
      <c r="F47" s="442">
        <v>4056</v>
      </c>
      <c r="G47" s="430">
        <f t="shared" si="27"/>
        <v>105374.88</v>
      </c>
      <c r="H47" s="33" t="s">
        <v>57</v>
      </c>
      <c r="I47" s="440">
        <v>20</v>
      </c>
      <c r="J47" s="31">
        <v>2400</v>
      </c>
      <c r="K47" s="12">
        <f t="shared" si="1"/>
        <v>120</v>
      </c>
      <c r="L47" s="440">
        <v>20</v>
      </c>
      <c r="M47" s="13">
        <f t="shared" si="28"/>
        <v>2295.8490566037749</v>
      </c>
      <c r="N47" s="12">
        <f t="shared" si="3"/>
        <v>114.79245283018875</v>
      </c>
      <c r="O47" s="14">
        <f t="shared" si="4"/>
        <v>0</v>
      </c>
      <c r="P47" s="15">
        <f t="shared" si="5"/>
        <v>-5.2075471698112494</v>
      </c>
      <c r="Q47" s="429">
        <f t="shared" si="6"/>
        <v>0.95660377358490623</v>
      </c>
      <c r="R47" s="615"/>
      <c r="S47" s="34">
        <v>0.71458333333333335</v>
      </c>
      <c r="T47" s="34">
        <v>0.78819444444444442</v>
      </c>
      <c r="U47" s="430">
        <f t="shared" si="30"/>
        <v>6.9999999999999751</v>
      </c>
      <c r="V47" s="441">
        <f t="shared" si="29"/>
        <v>105.99999999999994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-104.1509433962251</v>
      </c>
      <c r="AF47" s="429">
        <f t="shared" si="9"/>
        <v>0.95660377358490623</v>
      </c>
      <c r="AG47" s="615"/>
    </row>
    <row r="48" spans="1:33">
      <c r="A48" s="639" t="s">
        <v>2088</v>
      </c>
      <c r="B48" s="30" t="s">
        <v>2091</v>
      </c>
      <c r="C48" s="618"/>
      <c r="D48" s="618"/>
      <c r="E48" s="431"/>
      <c r="F48" s="30"/>
      <c r="G48" s="12"/>
      <c r="H48" s="442"/>
      <c r="I48" s="23">
        <v>17.5</v>
      </c>
      <c r="J48" s="31">
        <v>2200</v>
      </c>
      <c r="K48" s="12">
        <f t="shared" si="1"/>
        <v>125.71428571428571</v>
      </c>
      <c r="L48" s="23">
        <v>17.5</v>
      </c>
      <c r="M48" s="13">
        <f>AVERAGE(M40:M47)</f>
        <v>2103.1914304225343</v>
      </c>
      <c r="N48" s="12">
        <f t="shared" si="3"/>
        <v>120.18236745271625</v>
      </c>
      <c r="O48" s="14">
        <f t="shared" si="4"/>
        <v>0</v>
      </c>
      <c r="P48" s="15">
        <f t="shared" si="5"/>
        <v>-5.5319182615694587</v>
      </c>
      <c r="Q48" s="429">
        <f t="shared" si="6"/>
        <v>0.95599610473751562</v>
      </c>
      <c r="R48" s="615"/>
      <c r="S48" s="34"/>
      <c r="T48" s="34"/>
      <c r="U48" s="12"/>
      <c r="V48" s="441"/>
      <c r="W48" s="12"/>
      <c r="X48" s="12"/>
      <c r="Y48" s="24">
        <f>SUM(Y40:Y47)</f>
        <v>0</v>
      </c>
      <c r="Z48" s="24">
        <f>SUM(Z40:Z47)</f>
        <v>0</v>
      </c>
      <c r="AA48" s="614"/>
      <c r="AB48" s="614"/>
      <c r="AC48" s="24">
        <v>8</v>
      </c>
      <c r="AD48" s="24">
        <f>SUM(AD40:AD47)</f>
        <v>0</v>
      </c>
      <c r="AE48" s="14">
        <f t="shared" si="8"/>
        <v>-96.808569577465732</v>
      </c>
      <c r="AF48" s="429">
        <f t="shared" si="9"/>
        <v>0.95599610473751562</v>
      </c>
      <c r="AG48" s="615"/>
    </row>
    <row r="49" spans="1:33" ht="15.75" customHeight="1">
      <c r="A49" s="632" t="s">
        <v>2092</v>
      </c>
      <c r="B49" s="29" t="s">
        <v>40</v>
      </c>
      <c r="C49" s="622" t="s">
        <v>41</v>
      </c>
      <c r="D49" s="623"/>
      <c r="E49" s="29">
        <v>37.880000000000003</v>
      </c>
      <c r="F49" s="442">
        <v>603</v>
      </c>
      <c r="G49" s="430">
        <f t="shared" ref="G49:G52" si="31">E49*F49</f>
        <v>22841.640000000003</v>
      </c>
      <c r="H49" s="33" t="s">
        <v>57</v>
      </c>
      <c r="I49" s="440">
        <v>13</v>
      </c>
      <c r="J49" s="31">
        <v>2000</v>
      </c>
      <c r="K49" s="12">
        <f t="shared" si="1"/>
        <v>153.84615384615384</v>
      </c>
      <c r="L49" s="440">
        <v>13</v>
      </c>
      <c r="M49" s="13">
        <f t="shared" ref="M49:M52" si="32">F49/V49*60</f>
        <v>1904.21052631579</v>
      </c>
      <c r="N49" s="13">
        <f t="shared" si="3"/>
        <v>146.47773279352231</v>
      </c>
      <c r="O49" s="14">
        <f t="shared" si="4"/>
        <v>0</v>
      </c>
      <c r="P49" s="15">
        <f t="shared" si="5"/>
        <v>-7.3684210526315326</v>
      </c>
      <c r="Q49" s="429">
        <f t="shared" si="6"/>
        <v>0.95210526315789501</v>
      </c>
      <c r="R49" s="635">
        <f>Q53</f>
        <v>0.95324578803890136</v>
      </c>
      <c r="S49" s="34">
        <v>8.3333333333333329E-2</v>
      </c>
      <c r="T49" s="34">
        <v>9.6527777777777768E-2</v>
      </c>
      <c r="U49" s="21"/>
      <c r="V49" s="441">
        <f t="shared" ref="V49:V52" si="33">(T49-S49)*24*60</f>
        <v>18.999999999999993</v>
      </c>
      <c r="W49" s="16">
        <f>T49</f>
        <v>9.6527777777777768E-2</v>
      </c>
      <c r="X49" s="16">
        <f>S50</f>
        <v>0.11597222222222221</v>
      </c>
      <c r="Y49" s="19"/>
      <c r="Z49" s="19"/>
      <c r="AA49" s="624"/>
      <c r="AB49" s="625"/>
      <c r="AC49" s="35">
        <v>4</v>
      </c>
      <c r="AD49" s="18"/>
      <c r="AE49" s="14">
        <f t="shared" si="8"/>
        <v>-95.789473684209952</v>
      </c>
      <c r="AF49" s="429">
        <f t="shared" si="9"/>
        <v>0.95210526315789501</v>
      </c>
      <c r="AG49" s="635">
        <f>AF53</f>
        <v>0.95324578803890136</v>
      </c>
    </row>
    <row r="50" spans="1:33" ht="15.75" customHeight="1">
      <c r="A50" s="633" t="s">
        <v>2093</v>
      </c>
      <c r="B50" s="29" t="s">
        <v>40</v>
      </c>
      <c r="C50" s="622" t="s">
        <v>42</v>
      </c>
      <c r="D50" s="623"/>
      <c r="E50" s="29">
        <v>35.119999999999997</v>
      </c>
      <c r="F50" s="442">
        <v>5989</v>
      </c>
      <c r="G50" s="430">
        <f t="shared" si="31"/>
        <v>210333.68</v>
      </c>
      <c r="H50" s="33" t="s">
        <v>57</v>
      </c>
      <c r="I50" s="440">
        <v>10</v>
      </c>
      <c r="J50" s="31">
        <v>3000</v>
      </c>
      <c r="K50" s="12">
        <f t="shared" si="1"/>
        <v>300</v>
      </c>
      <c r="L50" s="440">
        <v>10</v>
      </c>
      <c r="M50" s="13">
        <f t="shared" si="32"/>
        <v>2874.7199999999993</v>
      </c>
      <c r="N50" s="13">
        <f t="shared" si="3"/>
        <v>287.47199999999992</v>
      </c>
      <c r="O50" s="14">
        <f t="shared" si="4"/>
        <v>0</v>
      </c>
      <c r="P50" s="15">
        <f t="shared" si="5"/>
        <v>-12.528000000000077</v>
      </c>
      <c r="Q50" s="429">
        <f t="shared" si="6"/>
        <v>0.95823999999999976</v>
      </c>
      <c r="R50" s="636"/>
      <c r="S50" s="34">
        <v>0.11597222222222221</v>
      </c>
      <c r="T50" s="34">
        <v>0.20277777777777778</v>
      </c>
      <c r="U50" s="430">
        <f t="shared" ref="U50:U52" si="34">(S50-T49)*24*60</f>
        <v>28</v>
      </c>
      <c r="V50" s="441">
        <f t="shared" si="33"/>
        <v>125.00000000000001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-125.28000000000065</v>
      </c>
      <c r="AF50" s="429">
        <f t="shared" si="9"/>
        <v>0.95823999999999976</v>
      </c>
      <c r="AG50" s="636"/>
    </row>
    <row r="51" spans="1:33" ht="15.75" customHeight="1">
      <c r="A51" s="633" t="s">
        <v>2092</v>
      </c>
      <c r="B51" s="29" t="s">
        <v>40</v>
      </c>
      <c r="C51" s="622" t="s">
        <v>43</v>
      </c>
      <c r="D51" s="623"/>
      <c r="E51" s="29">
        <v>21.13</v>
      </c>
      <c r="F51" s="442">
        <v>5610</v>
      </c>
      <c r="G51" s="430">
        <f t="shared" si="31"/>
        <v>118539.29999999999</v>
      </c>
      <c r="H51" s="33" t="s">
        <v>57</v>
      </c>
      <c r="I51" s="440">
        <v>10</v>
      </c>
      <c r="J51" s="31">
        <v>3000</v>
      </c>
      <c r="K51" s="12">
        <f t="shared" si="1"/>
        <v>300</v>
      </c>
      <c r="L51" s="440">
        <v>10</v>
      </c>
      <c r="M51" s="13">
        <f t="shared" si="32"/>
        <v>2852.5423728813562</v>
      </c>
      <c r="N51" s="13">
        <f t="shared" si="3"/>
        <v>285.25423728813564</v>
      </c>
      <c r="O51" s="14">
        <f t="shared" si="4"/>
        <v>0</v>
      </c>
      <c r="P51" s="15">
        <f t="shared" si="5"/>
        <v>-14.745762711864359</v>
      </c>
      <c r="Q51" s="429">
        <f t="shared" si="6"/>
        <v>0.95084745762711875</v>
      </c>
      <c r="R51" s="636"/>
      <c r="S51" s="34">
        <v>0.20624999999999999</v>
      </c>
      <c r="T51" s="34">
        <v>0.28819444444444442</v>
      </c>
      <c r="U51" s="430">
        <f t="shared" si="34"/>
        <v>4.9999999999999822</v>
      </c>
      <c r="V51" s="441">
        <f t="shared" si="33"/>
        <v>117.99999999999999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-147.45762711864381</v>
      </c>
      <c r="AF51" s="429">
        <f t="shared" si="9"/>
        <v>0.95084745762711875</v>
      </c>
      <c r="AG51" s="636"/>
    </row>
    <row r="52" spans="1:33" ht="15.75" customHeight="1">
      <c r="A52" s="633" t="s">
        <v>2094</v>
      </c>
      <c r="B52" s="29" t="s">
        <v>40</v>
      </c>
      <c r="C52" s="622" t="s">
        <v>44</v>
      </c>
      <c r="D52" s="623"/>
      <c r="E52" s="29">
        <v>27.17</v>
      </c>
      <c r="F52" s="442">
        <v>7421</v>
      </c>
      <c r="G52" s="430">
        <f t="shared" si="31"/>
        <v>201628.57</v>
      </c>
      <c r="H52" s="33" t="s">
        <v>57</v>
      </c>
      <c r="I52" s="440">
        <v>10</v>
      </c>
      <c r="J52" s="31">
        <v>3000</v>
      </c>
      <c r="K52" s="12">
        <f t="shared" si="1"/>
        <v>300</v>
      </c>
      <c r="L52" s="440">
        <v>10</v>
      </c>
      <c r="M52" s="13">
        <f t="shared" si="32"/>
        <v>2854.2307692307691</v>
      </c>
      <c r="N52" s="13">
        <f t="shared" si="3"/>
        <v>285.42307692307691</v>
      </c>
      <c r="O52" s="14">
        <f t="shared" si="4"/>
        <v>0</v>
      </c>
      <c r="P52" s="15">
        <f t="shared" si="5"/>
        <v>-14.576923076923094</v>
      </c>
      <c r="Q52" s="429">
        <f t="shared" si="6"/>
        <v>0.95141025641025634</v>
      </c>
      <c r="R52" s="636"/>
      <c r="S52" s="34">
        <v>0.29374999999999996</v>
      </c>
      <c r="T52" s="34">
        <v>0.40208333333333329</v>
      </c>
      <c r="U52" s="430">
        <f t="shared" si="34"/>
        <v>7.9999999999999716</v>
      </c>
      <c r="V52" s="441">
        <f t="shared" si="33"/>
        <v>156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-145.76923076923094</v>
      </c>
      <c r="AF52" s="429">
        <f t="shared" si="9"/>
        <v>0.95141025641025634</v>
      </c>
      <c r="AG52" s="636"/>
    </row>
    <row r="53" spans="1:33" ht="15.75" customHeight="1">
      <c r="A53" s="634" t="s">
        <v>2093</v>
      </c>
      <c r="B53" s="29" t="s">
        <v>2095</v>
      </c>
      <c r="C53" s="612"/>
      <c r="D53" s="613"/>
      <c r="E53" s="433"/>
      <c r="F53" s="442"/>
      <c r="G53" s="430"/>
      <c r="H53" s="442"/>
      <c r="I53" s="23">
        <v>10.75</v>
      </c>
      <c r="J53" s="31">
        <v>2750</v>
      </c>
      <c r="K53" s="12">
        <f t="shared" si="1"/>
        <v>255.81395348837211</v>
      </c>
      <c r="L53" s="23">
        <v>10.75</v>
      </c>
      <c r="M53" s="13">
        <f>AVERAGE(M49:M52)</f>
        <v>2621.4259171069789</v>
      </c>
      <c r="N53" s="12">
        <f t="shared" si="3"/>
        <v>243.85357368437013</v>
      </c>
      <c r="O53" s="14">
        <f t="shared" si="4"/>
        <v>0</v>
      </c>
      <c r="P53" s="15">
        <f t="shared" si="5"/>
        <v>-11.960379804001974</v>
      </c>
      <c r="Q53" s="429">
        <f t="shared" si="6"/>
        <v>0.95324578803890136</v>
      </c>
      <c r="R53" s="637"/>
      <c r="S53" s="34"/>
      <c r="T53" s="34"/>
      <c r="U53" s="430"/>
      <c r="V53" s="441"/>
      <c r="W53" s="16"/>
      <c r="X53" s="16"/>
      <c r="Y53" s="24">
        <f>SUM(Y49:Y52)</f>
        <v>0</v>
      </c>
      <c r="Z53" s="24">
        <f>SUM(Z49:Z52)</f>
        <v>0</v>
      </c>
      <c r="AA53" s="628"/>
      <c r="AB53" s="629"/>
      <c r="AC53" s="24">
        <v>4</v>
      </c>
      <c r="AD53" s="24">
        <f>SUM(AD49:AD52)</f>
        <v>0</v>
      </c>
      <c r="AE53" s="14">
        <f t="shared" si="8"/>
        <v>-128.57408289302111</v>
      </c>
      <c r="AF53" s="429">
        <f t="shared" si="9"/>
        <v>0.95324578803890136</v>
      </c>
      <c r="AG53" s="637"/>
    </row>
    <row r="54" spans="1:33" ht="15.75" customHeight="1">
      <c r="A54" s="630" t="s">
        <v>2096</v>
      </c>
      <c r="B54" s="29" t="s">
        <v>15</v>
      </c>
      <c r="C54" s="616" t="s">
        <v>46</v>
      </c>
      <c r="D54" s="616"/>
      <c r="E54" s="29">
        <v>56.43</v>
      </c>
      <c r="F54" s="32">
        <v>1578</v>
      </c>
      <c r="G54" s="430">
        <f t="shared" ref="G54:G60" si="35">E54*F54</f>
        <v>89046.54</v>
      </c>
      <c r="H54" s="33" t="s">
        <v>57</v>
      </c>
      <c r="I54" s="440">
        <v>22</v>
      </c>
      <c r="J54" s="31">
        <v>2000</v>
      </c>
      <c r="K54" s="12">
        <f t="shared" si="1"/>
        <v>90.909090909090907</v>
      </c>
      <c r="L54" s="440">
        <v>22</v>
      </c>
      <c r="M54" s="13">
        <f t="shared" ref="M54" si="36">F54/V54*60</f>
        <v>1932.2448979591843</v>
      </c>
      <c r="N54" s="13">
        <f t="shared" si="3"/>
        <v>87.829313543599284</v>
      </c>
      <c r="O54" s="14">
        <f t="shared" si="4"/>
        <v>0</v>
      </c>
      <c r="P54" s="15">
        <f t="shared" si="5"/>
        <v>-3.0797773654916227</v>
      </c>
      <c r="Q54" s="429">
        <f t="shared" si="6"/>
        <v>0.9661224489795921</v>
      </c>
      <c r="R54" s="615">
        <f>Q61</f>
        <v>0.95839056382792909</v>
      </c>
      <c r="S54" s="34">
        <v>0.16666666666666666</v>
      </c>
      <c r="T54" s="34">
        <v>0.20069444444444443</v>
      </c>
      <c r="U54" s="21"/>
      <c r="V54" s="441">
        <f t="shared" ref="V54:V60" si="37">(T54-S54)*24*60</f>
        <v>48.999999999999986</v>
      </c>
      <c r="W54" s="16">
        <f>T54</f>
        <v>0.20069444444444443</v>
      </c>
      <c r="X54" s="16">
        <f>S55</f>
        <v>0.22083333333333333</v>
      </c>
      <c r="Y54" s="21"/>
      <c r="Z54" s="21"/>
      <c r="AA54" s="617"/>
      <c r="AB54" s="617"/>
      <c r="AC54" s="35">
        <v>7</v>
      </c>
      <c r="AD54" s="18"/>
      <c r="AE54" s="14">
        <f t="shared" si="8"/>
        <v>-67.7551020408157</v>
      </c>
      <c r="AF54" s="429">
        <f t="shared" si="9"/>
        <v>0.9661224489795921</v>
      </c>
      <c r="AG54" s="615">
        <f>AF61</f>
        <v>0.95839056382792898</v>
      </c>
    </row>
    <row r="55" spans="1:33" ht="15.75" customHeight="1">
      <c r="A55" s="630" t="s">
        <v>181</v>
      </c>
      <c r="B55" s="29" t="s">
        <v>19</v>
      </c>
      <c r="C55" s="616" t="s">
        <v>81</v>
      </c>
      <c r="D55" s="616"/>
      <c r="E55" s="29">
        <v>46</v>
      </c>
      <c r="F55" s="32">
        <v>3240</v>
      </c>
      <c r="G55" s="430">
        <f t="shared" si="35"/>
        <v>149040</v>
      </c>
      <c r="H55" s="33" t="s">
        <v>57</v>
      </c>
      <c r="I55" s="440">
        <v>16</v>
      </c>
      <c r="J55" s="31">
        <v>2000</v>
      </c>
      <c r="K55" s="12">
        <f t="shared" si="1"/>
        <v>125</v>
      </c>
      <c r="L55" s="440">
        <v>16</v>
      </c>
      <c r="M55" s="13">
        <f>F55/V55*60</f>
        <v>1905.8823529411775</v>
      </c>
      <c r="N55" s="13">
        <f t="shared" si="3"/>
        <v>119.11764705882359</v>
      </c>
      <c r="O55" s="14">
        <f t="shared" si="4"/>
        <v>0</v>
      </c>
      <c r="P55" s="15">
        <f t="shared" si="5"/>
        <v>-5.8823529411764071</v>
      </c>
      <c r="Q55" s="429">
        <f t="shared" si="6"/>
        <v>0.95294117647058874</v>
      </c>
      <c r="R55" s="615"/>
      <c r="S55" s="34">
        <v>0.22083333333333333</v>
      </c>
      <c r="T55" s="34">
        <v>0.29166666666666663</v>
      </c>
      <c r="U55" s="430">
        <f t="shared" ref="U55:U60" si="38">IF(S55=TIME(17,0,0),"",(S55-T54)*24*60)</f>
        <v>29.000000000000018</v>
      </c>
      <c r="V55" s="441">
        <f t="shared" si="37"/>
        <v>101.99999999999996</v>
      </c>
      <c r="W55" s="16"/>
      <c r="X55" s="16"/>
      <c r="Y55" s="16"/>
      <c r="Z55" s="16"/>
      <c r="AA55" s="617"/>
      <c r="AB55" s="617"/>
      <c r="AC55" s="35"/>
      <c r="AD55" s="18"/>
      <c r="AE55" s="14">
        <f t="shared" si="8"/>
        <v>-94.117647058822513</v>
      </c>
      <c r="AF55" s="429">
        <f t="shared" si="9"/>
        <v>0.95294117647058874</v>
      </c>
      <c r="AG55" s="615"/>
    </row>
    <row r="56" spans="1:33" ht="15.75" customHeight="1">
      <c r="A56" s="630" t="s">
        <v>2096</v>
      </c>
      <c r="B56" s="29" t="s">
        <v>19</v>
      </c>
      <c r="C56" s="622" t="s">
        <v>945</v>
      </c>
      <c r="D56" s="623"/>
      <c r="E56" s="29">
        <v>46</v>
      </c>
      <c r="F56" s="32">
        <v>4019</v>
      </c>
      <c r="G56" s="430">
        <f t="shared" si="35"/>
        <v>184874</v>
      </c>
      <c r="H56" s="33" t="s">
        <v>57</v>
      </c>
      <c r="I56" s="440">
        <v>17</v>
      </c>
      <c r="J56" s="31">
        <v>2000</v>
      </c>
      <c r="K56" s="12">
        <f t="shared" si="1"/>
        <v>117.64705882352941</v>
      </c>
      <c r="L56" s="440">
        <v>17</v>
      </c>
      <c r="M56" s="13">
        <f t="shared" ref="M56:M60" si="39">F56/V56*60</f>
        <v>1913.8095238095234</v>
      </c>
      <c r="N56" s="13">
        <f t="shared" si="3"/>
        <v>112.57703081232491</v>
      </c>
      <c r="O56" s="14">
        <f t="shared" si="4"/>
        <v>0</v>
      </c>
      <c r="P56" s="15">
        <f t="shared" si="5"/>
        <v>-5.0700280112044993</v>
      </c>
      <c r="Q56" s="429">
        <f t="shared" si="6"/>
        <v>0.9569047619047617</v>
      </c>
      <c r="R56" s="615"/>
      <c r="S56" s="34">
        <v>0.29652777777777772</v>
      </c>
      <c r="T56" s="34">
        <v>0.38402777777777775</v>
      </c>
      <c r="U56" s="430">
        <f t="shared" si="38"/>
        <v>6.9999999999999751</v>
      </c>
      <c r="V56" s="441">
        <f t="shared" si="37"/>
        <v>126.00000000000003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-86.190476190476602</v>
      </c>
      <c r="AF56" s="429">
        <f t="shared" si="9"/>
        <v>0.9569047619047617</v>
      </c>
      <c r="AG56" s="615"/>
    </row>
    <row r="57" spans="1:33" ht="15.75" customHeight="1">
      <c r="A57" s="630" t="s">
        <v>2096</v>
      </c>
      <c r="B57" s="29" t="s">
        <v>15</v>
      </c>
      <c r="C57" s="434" t="s">
        <v>27</v>
      </c>
      <c r="D57" s="435"/>
      <c r="E57" s="29">
        <v>59.04</v>
      </c>
      <c r="F57" s="32">
        <v>2539</v>
      </c>
      <c r="G57" s="430">
        <f t="shared" si="35"/>
        <v>149902.56</v>
      </c>
      <c r="H57" s="33" t="s">
        <v>57</v>
      </c>
      <c r="I57" s="440">
        <v>19</v>
      </c>
      <c r="J57" s="31">
        <v>2000</v>
      </c>
      <c r="K57" s="12">
        <f t="shared" si="1"/>
        <v>105.26315789473684</v>
      </c>
      <c r="L57" s="440">
        <v>19</v>
      </c>
      <c r="M57" s="13">
        <f t="shared" si="39"/>
        <v>1904.2499999999993</v>
      </c>
      <c r="N57" s="13">
        <f t="shared" si="3"/>
        <v>100.22368421052629</v>
      </c>
      <c r="O57" s="14">
        <f t="shared" si="4"/>
        <v>0</v>
      </c>
      <c r="P57" s="15">
        <f t="shared" si="5"/>
        <v>-5.0394736842105488</v>
      </c>
      <c r="Q57" s="429">
        <f t="shared" si="6"/>
        <v>0.95212499999999978</v>
      </c>
      <c r="R57" s="615"/>
      <c r="S57" s="34">
        <v>0.3881944444444444</v>
      </c>
      <c r="T57" s="34">
        <v>0.44374999999999998</v>
      </c>
      <c r="U57" s="430">
        <f t="shared" si="38"/>
        <v>5.9999999999999787</v>
      </c>
      <c r="V57" s="441">
        <f t="shared" si="37"/>
        <v>80.000000000000028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-95.750000000000682</v>
      </c>
      <c r="AF57" s="429">
        <f t="shared" si="9"/>
        <v>0.95212499999999967</v>
      </c>
      <c r="AG57" s="615"/>
    </row>
    <row r="58" spans="1:33" ht="15.75" customHeight="1">
      <c r="A58" s="630" t="s">
        <v>2096</v>
      </c>
      <c r="B58" s="29" t="s">
        <v>15</v>
      </c>
      <c r="C58" s="434" t="s">
        <v>48</v>
      </c>
      <c r="D58" s="435"/>
      <c r="E58" s="29">
        <v>55.56</v>
      </c>
      <c r="F58" s="32">
        <v>2408</v>
      </c>
      <c r="G58" s="430">
        <f t="shared" si="35"/>
        <v>133788.48000000001</v>
      </c>
      <c r="H58" s="33" t="s">
        <v>57</v>
      </c>
      <c r="I58" s="440">
        <v>17</v>
      </c>
      <c r="J58" s="31">
        <v>2000</v>
      </c>
      <c r="K58" s="12">
        <f t="shared" si="1"/>
        <v>117.64705882352941</v>
      </c>
      <c r="L58" s="440">
        <v>17</v>
      </c>
      <c r="M58" s="13">
        <f t="shared" si="39"/>
        <v>1926.3999999999985</v>
      </c>
      <c r="N58" s="13">
        <f t="shared" si="3"/>
        <v>113.31764705882344</v>
      </c>
      <c r="O58" s="14">
        <f t="shared" si="4"/>
        <v>0</v>
      </c>
      <c r="P58" s="15">
        <f t="shared" si="5"/>
        <v>-4.3294117647059664</v>
      </c>
      <c r="Q58" s="429">
        <f t="shared" si="6"/>
        <v>0.96319999999999928</v>
      </c>
      <c r="R58" s="615"/>
      <c r="S58" s="34">
        <v>0.70833333333333337</v>
      </c>
      <c r="T58" s="34">
        <v>0.76041666666666674</v>
      </c>
      <c r="U58" s="430" t="str">
        <f t="shared" si="38"/>
        <v/>
      </c>
      <c r="V58" s="441">
        <f t="shared" si="37"/>
        <v>75.000000000000057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-73.600000000001501</v>
      </c>
      <c r="AF58" s="429">
        <f t="shared" si="9"/>
        <v>0.96319999999999928</v>
      </c>
      <c r="AG58" s="615"/>
    </row>
    <row r="59" spans="1:33" ht="15.75" customHeight="1">
      <c r="A59" s="630" t="s">
        <v>2097</v>
      </c>
      <c r="B59" s="29" t="s">
        <v>15</v>
      </c>
      <c r="C59" s="622" t="s">
        <v>841</v>
      </c>
      <c r="D59" s="623"/>
      <c r="E59" s="29">
        <v>54.09</v>
      </c>
      <c r="F59" s="32">
        <v>2065</v>
      </c>
      <c r="G59" s="430">
        <f t="shared" si="35"/>
        <v>111695.85</v>
      </c>
      <c r="H59" s="33" t="s">
        <v>57</v>
      </c>
      <c r="I59" s="440">
        <v>13</v>
      </c>
      <c r="J59" s="31">
        <v>2000</v>
      </c>
      <c r="K59" s="12">
        <f t="shared" si="1"/>
        <v>153.84615384615384</v>
      </c>
      <c r="L59" s="440">
        <v>13</v>
      </c>
      <c r="M59" s="13">
        <f t="shared" si="39"/>
        <v>1906.1538461538482</v>
      </c>
      <c r="N59" s="13">
        <f t="shared" si="3"/>
        <v>146.62721893491141</v>
      </c>
      <c r="O59" s="14">
        <f t="shared" si="4"/>
        <v>0</v>
      </c>
      <c r="P59" s="15">
        <f t="shared" si="5"/>
        <v>-7.2189349112424281</v>
      </c>
      <c r="Q59" s="429">
        <f t="shared" si="6"/>
        <v>0.95307692307692427</v>
      </c>
      <c r="R59" s="615"/>
      <c r="S59" s="34">
        <v>0.76388888888888895</v>
      </c>
      <c r="T59" s="34">
        <v>0.80902777777777779</v>
      </c>
      <c r="U59" s="430">
        <f t="shared" si="38"/>
        <v>4.9999999999999822</v>
      </c>
      <c r="V59" s="441">
        <f t="shared" si="37"/>
        <v>64.999999999999929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-93.846153846151765</v>
      </c>
      <c r="AF59" s="429">
        <f t="shared" si="9"/>
        <v>0.95307692307692415</v>
      </c>
      <c r="AG59" s="615"/>
    </row>
    <row r="60" spans="1:33" ht="15.75" customHeight="1">
      <c r="A60" s="630" t="s">
        <v>2097</v>
      </c>
      <c r="B60" s="29" t="s">
        <v>15</v>
      </c>
      <c r="C60" s="622" t="s">
        <v>85</v>
      </c>
      <c r="D60" s="623"/>
      <c r="E60" s="29">
        <v>56.43</v>
      </c>
      <c r="F60" s="32">
        <v>1768</v>
      </c>
      <c r="G60" s="430">
        <f t="shared" si="35"/>
        <v>99768.24</v>
      </c>
      <c r="H60" s="33" t="s">
        <v>57</v>
      </c>
      <c r="I60" s="440">
        <v>13</v>
      </c>
      <c r="J60" s="31">
        <v>2000</v>
      </c>
      <c r="K60" s="12">
        <f t="shared" si="1"/>
        <v>153.84615384615384</v>
      </c>
      <c r="L60" s="440">
        <v>13</v>
      </c>
      <c r="M60" s="13">
        <f t="shared" si="39"/>
        <v>1928.7272727272741</v>
      </c>
      <c r="N60" s="13">
        <f t="shared" si="3"/>
        <v>148.36363636363646</v>
      </c>
      <c r="O60" s="14">
        <f t="shared" si="4"/>
        <v>0</v>
      </c>
      <c r="P60" s="15">
        <f t="shared" si="5"/>
        <v>-5.4825174825173804</v>
      </c>
      <c r="Q60" s="429">
        <f t="shared" si="6"/>
        <v>0.96436363636363698</v>
      </c>
      <c r="R60" s="615"/>
      <c r="S60" s="34">
        <v>0.8125</v>
      </c>
      <c r="T60" s="34">
        <v>0.85069444444444442</v>
      </c>
      <c r="U60" s="430">
        <f t="shared" si="38"/>
        <v>4.9999999999999822</v>
      </c>
      <c r="V60" s="441">
        <f t="shared" si="37"/>
        <v>54.999999999999964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-71.272727272725888</v>
      </c>
      <c r="AF60" s="429">
        <f t="shared" si="9"/>
        <v>0.96436363636363709</v>
      </c>
      <c r="AG60" s="615"/>
    </row>
    <row r="61" spans="1:33">
      <c r="A61" s="631" t="s">
        <v>2097</v>
      </c>
      <c r="B61" s="29" t="s">
        <v>2098</v>
      </c>
      <c r="C61" s="618"/>
      <c r="D61" s="618"/>
      <c r="E61" s="431"/>
      <c r="F61" s="30"/>
      <c r="G61" s="12"/>
      <c r="H61" s="442"/>
      <c r="I61" s="23">
        <v>16.714285714285715</v>
      </c>
      <c r="J61" s="31">
        <v>2000</v>
      </c>
      <c r="K61" s="12">
        <f t="shared" si="1"/>
        <v>119.65811965811965</v>
      </c>
      <c r="L61" s="23">
        <v>16.714285714285715</v>
      </c>
      <c r="M61" s="13">
        <f>AVERAGE(M54:M60)</f>
        <v>1916.781127655858</v>
      </c>
      <c r="N61" s="12">
        <f t="shared" si="3"/>
        <v>114.67921276573509</v>
      </c>
      <c r="O61" s="14">
        <f t="shared" si="4"/>
        <v>0</v>
      </c>
      <c r="P61" s="15">
        <f t="shared" si="5"/>
        <v>-4.9789068923845576</v>
      </c>
      <c r="Q61" s="429">
        <f t="shared" si="6"/>
        <v>0.95839056382792909</v>
      </c>
      <c r="R61" s="615"/>
      <c r="S61" s="34"/>
      <c r="T61" s="34"/>
      <c r="U61" s="430"/>
      <c r="V61" s="441"/>
      <c r="W61" s="12"/>
      <c r="X61" s="12"/>
      <c r="Y61" s="24">
        <f>SUM(Y54:Y60)</f>
        <v>0</v>
      </c>
      <c r="Z61" s="24">
        <f>SUM(Z54:Z60)</f>
        <v>0</v>
      </c>
      <c r="AA61" s="614"/>
      <c r="AB61" s="614"/>
      <c r="AC61" s="24">
        <v>7</v>
      </c>
      <c r="AD61" s="24">
        <f>SUM(AD54:AD60)</f>
        <v>0</v>
      </c>
      <c r="AE61" s="14">
        <f>M61-J61</f>
        <v>-83.218872344142028</v>
      </c>
      <c r="AF61" s="429">
        <f t="shared" si="9"/>
        <v>0.95839056382792898</v>
      </c>
      <c r="AG61" s="615"/>
    </row>
    <row r="62" spans="1:33" ht="15.75" customHeight="1">
      <c r="A62" s="626" t="s">
        <v>2099</v>
      </c>
      <c r="B62" s="442" t="s">
        <v>40</v>
      </c>
      <c r="C62" s="616" t="s">
        <v>49</v>
      </c>
      <c r="D62" s="616"/>
      <c r="E62" s="29">
        <v>34.36</v>
      </c>
      <c r="F62" s="32">
        <v>2444</v>
      </c>
      <c r="G62" s="430">
        <f t="shared" ref="G62:G65" si="40">E62*F62</f>
        <v>83975.84</v>
      </c>
      <c r="H62" s="33" t="s">
        <v>57</v>
      </c>
      <c r="I62" s="440">
        <v>10</v>
      </c>
      <c r="J62" s="31">
        <v>3000</v>
      </c>
      <c r="K62" s="12">
        <f t="shared" si="1"/>
        <v>300</v>
      </c>
      <c r="L62" s="440">
        <v>10</v>
      </c>
      <c r="M62" s="13">
        <f t="shared" ref="M62:M65" si="41">F62/V62*60</f>
        <v>2875.2941176470576</v>
      </c>
      <c r="N62" s="12">
        <f t="shared" si="3"/>
        <v>287.52941176470574</v>
      </c>
      <c r="O62" s="14">
        <f t="shared" si="4"/>
        <v>0</v>
      </c>
      <c r="P62" s="15">
        <f t="shared" si="5"/>
        <v>-12.470588235294258</v>
      </c>
      <c r="Q62" s="429">
        <f t="shared" si="6"/>
        <v>0.95843137254901911</v>
      </c>
      <c r="R62" s="615">
        <f>Q66</f>
        <v>0.96085712450664018</v>
      </c>
      <c r="S62" s="34">
        <v>0.20833333333333334</v>
      </c>
      <c r="T62" s="34">
        <v>0.24375000000000002</v>
      </c>
      <c r="U62" s="430"/>
      <c r="V62" s="441">
        <f t="shared" ref="V62:V65" si="42">(T62-S62)*24*60</f>
        <v>51.000000000000021</v>
      </c>
      <c r="W62" s="16"/>
      <c r="X62" s="16"/>
      <c r="Y62" s="21"/>
      <c r="Z62" s="21"/>
      <c r="AA62" s="617"/>
      <c r="AB62" s="617"/>
      <c r="AC62" s="35">
        <v>4</v>
      </c>
      <c r="AD62" s="18"/>
      <c r="AE62" s="14">
        <f t="shared" ref="AE62:AE73" si="43">M62-J62</f>
        <v>-124.70588235294235</v>
      </c>
      <c r="AF62" s="429">
        <f t="shared" si="9"/>
        <v>0.95843137254901922</v>
      </c>
      <c r="AG62" s="615">
        <f>AF66</f>
        <v>0.96085712450664018</v>
      </c>
    </row>
    <row r="63" spans="1:33" ht="15.75" customHeight="1">
      <c r="A63" s="626" t="s">
        <v>2100</v>
      </c>
      <c r="B63" s="442" t="s">
        <v>40</v>
      </c>
      <c r="C63" s="616" t="s">
        <v>51</v>
      </c>
      <c r="D63" s="616"/>
      <c r="E63" s="29">
        <v>26.78</v>
      </c>
      <c r="F63" s="32">
        <v>2732</v>
      </c>
      <c r="G63" s="430">
        <f t="shared" si="40"/>
        <v>73162.960000000006</v>
      </c>
      <c r="H63" s="33" t="s">
        <v>57</v>
      </c>
      <c r="I63" s="440">
        <v>10</v>
      </c>
      <c r="J63" s="31">
        <v>3000</v>
      </c>
      <c r="K63" s="12">
        <f t="shared" si="1"/>
        <v>300</v>
      </c>
      <c r="L63" s="440">
        <v>10</v>
      </c>
      <c r="M63" s="13">
        <f t="shared" si="41"/>
        <v>2875.7894736842104</v>
      </c>
      <c r="N63" s="12">
        <f t="shared" si="3"/>
        <v>287.57894736842104</v>
      </c>
      <c r="O63" s="14">
        <f t="shared" si="4"/>
        <v>0</v>
      </c>
      <c r="P63" s="15">
        <f t="shared" si="5"/>
        <v>-12.421052631578959</v>
      </c>
      <c r="Q63" s="429">
        <f t="shared" si="6"/>
        <v>0.95859649122807011</v>
      </c>
      <c r="R63" s="615"/>
      <c r="S63" s="34">
        <v>0.24930555555555559</v>
      </c>
      <c r="T63" s="34">
        <v>0.28888888888888892</v>
      </c>
      <c r="U63" s="430">
        <f t="shared" ref="U63:U65" si="44">(S63-T62)*24*60</f>
        <v>8.0000000000000107</v>
      </c>
      <c r="V63" s="441">
        <f t="shared" si="42"/>
        <v>57</v>
      </c>
      <c r="W63" s="430"/>
      <c r="X63" s="430"/>
      <c r="Y63" s="430"/>
      <c r="Z63" s="430"/>
      <c r="AA63" s="617"/>
      <c r="AB63" s="617"/>
      <c r="AC63" s="35"/>
      <c r="AD63" s="18"/>
      <c r="AE63" s="14">
        <f t="shared" si="43"/>
        <v>-124.21052631578959</v>
      </c>
      <c r="AF63" s="429">
        <f t="shared" si="9"/>
        <v>0.95859649122807011</v>
      </c>
      <c r="AG63" s="615"/>
    </row>
    <row r="64" spans="1:33" ht="15.75" customHeight="1">
      <c r="A64" s="626" t="s">
        <v>2101</v>
      </c>
      <c r="B64" s="442" t="s">
        <v>40</v>
      </c>
      <c r="C64" s="616" t="s">
        <v>52</v>
      </c>
      <c r="D64" s="616"/>
      <c r="E64" s="29">
        <v>35.869999999999997</v>
      </c>
      <c r="F64" s="32">
        <v>4201</v>
      </c>
      <c r="G64" s="430">
        <f t="shared" si="40"/>
        <v>150689.87</v>
      </c>
      <c r="H64" s="33" t="s">
        <v>57</v>
      </c>
      <c r="I64" s="440">
        <v>9</v>
      </c>
      <c r="J64" s="31">
        <v>3000</v>
      </c>
      <c r="K64" s="12">
        <f t="shared" si="1"/>
        <v>333.33333333333331</v>
      </c>
      <c r="L64" s="440">
        <v>9</v>
      </c>
      <c r="M64" s="13">
        <f t="shared" si="41"/>
        <v>2864.318181818182</v>
      </c>
      <c r="N64" s="12">
        <f t="shared" si="3"/>
        <v>318.25757575757575</v>
      </c>
      <c r="O64" s="14">
        <f t="shared" si="4"/>
        <v>0</v>
      </c>
      <c r="P64" s="15">
        <f t="shared" si="5"/>
        <v>-15.075757575757564</v>
      </c>
      <c r="Q64" s="429">
        <f t="shared" si="6"/>
        <v>0.95477272727272733</v>
      </c>
      <c r="R64" s="615"/>
      <c r="S64" s="34">
        <v>0.29375000000000001</v>
      </c>
      <c r="T64" s="34">
        <v>0.35486111111111113</v>
      </c>
      <c r="U64" s="430">
        <f t="shared" si="44"/>
        <v>6.9999999999999751</v>
      </c>
      <c r="V64" s="441">
        <f t="shared" si="42"/>
        <v>88</v>
      </c>
      <c r="W64" s="430"/>
      <c r="X64" s="430"/>
      <c r="Y64" s="430"/>
      <c r="Z64" s="430"/>
      <c r="AA64" s="617"/>
      <c r="AB64" s="617"/>
      <c r="AC64" s="35"/>
      <c r="AD64" s="18"/>
      <c r="AE64" s="14">
        <f t="shared" si="43"/>
        <v>-135.68181818181802</v>
      </c>
      <c r="AF64" s="429">
        <f t="shared" si="9"/>
        <v>0.95477272727272733</v>
      </c>
      <c r="AG64" s="615"/>
    </row>
    <row r="65" spans="1:33" ht="15.75" customHeight="1">
      <c r="A65" s="626" t="s">
        <v>2102</v>
      </c>
      <c r="B65" s="442" t="s">
        <v>40</v>
      </c>
      <c r="C65" s="616" t="s">
        <v>53</v>
      </c>
      <c r="D65" s="616"/>
      <c r="E65" s="29">
        <v>34.35</v>
      </c>
      <c r="F65" s="32">
        <v>2089</v>
      </c>
      <c r="G65" s="430">
        <f t="shared" si="40"/>
        <v>71757.150000000009</v>
      </c>
      <c r="H65" s="33" t="s">
        <v>57</v>
      </c>
      <c r="I65" s="440">
        <v>8</v>
      </c>
      <c r="J65" s="31">
        <v>3000</v>
      </c>
      <c r="K65" s="12">
        <f t="shared" si="1"/>
        <v>375</v>
      </c>
      <c r="L65" s="440">
        <v>8</v>
      </c>
      <c r="M65" s="13">
        <f t="shared" si="41"/>
        <v>2914.8837209302319</v>
      </c>
      <c r="N65" s="12">
        <f t="shared" si="3"/>
        <v>364.36046511627899</v>
      </c>
      <c r="O65" s="14">
        <f t="shared" si="4"/>
        <v>0</v>
      </c>
      <c r="P65" s="15">
        <f t="shared" si="5"/>
        <v>-10.639534883721012</v>
      </c>
      <c r="Q65" s="429">
        <f t="shared" si="6"/>
        <v>0.97162790697674395</v>
      </c>
      <c r="R65" s="615"/>
      <c r="S65" s="34">
        <v>0.35833333333333334</v>
      </c>
      <c r="T65" s="34">
        <v>0.38819444444444445</v>
      </c>
      <c r="U65" s="430">
        <f t="shared" si="44"/>
        <v>4.9999999999999822</v>
      </c>
      <c r="V65" s="441">
        <f t="shared" si="42"/>
        <v>43.000000000000007</v>
      </c>
      <c r="W65" s="430"/>
      <c r="X65" s="430"/>
      <c r="Y65" s="430"/>
      <c r="Z65" s="430"/>
      <c r="AA65" s="617"/>
      <c r="AB65" s="617"/>
      <c r="AC65" s="35"/>
      <c r="AD65" s="18"/>
      <c r="AE65" s="14">
        <f t="shared" si="43"/>
        <v>-85.116279069768098</v>
      </c>
      <c r="AF65" s="429">
        <f t="shared" si="9"/>
        <v>0.97162790697674395</v>
      </c>
      <c r="AG65" s="615"/>
    </row>
    <row r="66" spans="1:33">
      <c r="A66" s="627" t="s">
        <v>182</v>
      </c>
      <c r="B66" s="29" t="s">
        <v>175</v>
      </c>
      <c r="C66" s="618"/>
      <c r="D66" s="618"/>
      <c r="E66" s="431"/>
      <c r="F66" s="30"/>
      <c r="G66" s="12"/>
      <c r="H66" s="442"/>
      <c r="I66" s="23">
        <v>9.25</v>
      </c>
      <c r="J66" s="31">
        <v>3000</v>
      </c>
      <c r="K66" s="12">
        <f t="shared" si="1"/>
        <v>324.32432432432432</v>
      </c>
      <c r="L66" s="23">
        <v>9.25</v>
      </c>
      <c r="M66" s="13">
        <f>AVERAGE(M62:M65)</f>
        <v>2882.5713735199206</v>
      </c>
      <c r="N66" s="12">
        <f t="shared" si="3"/>
        <v>311.62933767782926</v>
      </c>
      <c r="O66" s="14">
        <f t="shared" si="4"/>
        <v>0</v>
      </c>
      <c r="P66" s="15">
        <f t="shared" si="5"/>
        <v>-12.694986646495067</v>
      </c>
      <c r="Q66" s="429">
        <f t="shared" si="6"/>
        <v>0.96085712450664018</v>
      </c>
      <c r="R66" s="615"/>
      <c r="S66" s="34"/>
      <c r="T66" s="34"/>
      <c r="U66" s="12"/>
      <c r="V66" s="441"/>
      <c r="W66" s="12"/>
      <c r="X66" s="12"/>
      <c r="Y66" s="24">
        <f>SUM(Y62:Y65)</f>
        <v>0</v>
      </c>
      <c r="Z66" s="24">
        <f>SUM(Z62:Z65)</f>
        <v>0</v>
      </c>
      <c r="AA66" s="614"/>
      <c r="AB66" s="614"/>
      <c r="AC66" s="24">
        <v>4</v>
      </c>
      <c r="AD66" s="24">
        <f>SUM(AD62:AD65)</f>
        <v>0</v>
      </c>
      <c r="AE66" s="14">
        <f t="shared" si="43"/>
        <v>-117.4286264800794</v>
      </c>
      <c r="AF66" s="429">
        <f t="shared" si="9"/>
        <v>0.96085712450664018</v>
      </c>
      <c r="AG66" s="615"/>
    </row>
    <row r="67" spans="1:33" ht="15.75" customHeight="1">
      <c r="A67" s="619" t="s">
        <v>2103</v>
      </c>
      <c r="B67" s="442" t="s">
        <v>32</v>
      </c>
      <c r="C67" s="616" t="s">
        <v>56</v>
      </c>
      <c r="D67" s="616"/>
      <c r="E67" s="29">
        <v>19.02</v>
      </c>
      <c r="F67" s="442">
        <v>4200</v>
      </c>
      <c r="G67" s="430">
        <f t="shared" ref="G67:G72" si="45">E67*F67</f>
        <v>79884</v>
      </c>
      <c r="H67" s="33">
        <v>2</v>
      </c>
      <c r="I67" s="440">
        <v>14</v>
      </c>
      <c r="J67" s="31">
        <v>2400</v>
      </c>
      <c r="K67" s="12">
        <f t="shared" si="1"/>
        <v>171.42857142857142</v>
      </c>
      <c r="L67" s="440">
        <v>14</v>
      </c>
      <c r="M67" s="13">
        <f t="shared" ref="M67:M72" si="46">F67/V67*60</f>
        <v>2290.909090909091</v>
      </c>
      <c r="N67" s="12">
        <f t="shared" si="3"/>
        <v>163.63636363636365</v>
      </c>
      <c r="O67" s="14">
        <f t="shared" si="4"/>
        <v>0</v>
      </c>
      <c r="P67" s="15">
        <f t="shared" si="5"/>
        <v>-7.7922077922077619</v>
      </c>
      <c r="Q67" s="429">
        <f t="shared" si="6"/>
        <v>0.9545454545454547</v>
      </c>
      <c r="R67" s="615">
        <f>Q73</f>
        <v>0.95404612444083614</v>
      </c>
      <c r="S67" s="34">
        <v>8.3333333333333329E-2</v>
      </c>
      <c r="T67" s="34">
        <v>0.15972222222222221</v>
      </c>
      <c r="U67" s="21"/>
      <c r="V67" s="441">
        <f t="shared" ref="V67:V72" si="47">(T67-S67)*24*60</f>
        <v>109.99999999999999</v>
      </c>
      <c r="W67" s="16">
        <f>T67</f>
        <v>0.15972222222222221</v>
      </c>
      <c r="X67" s="16">
        <f>S68</f>
        <v>0.18124999999999999</v>
      </c>
      <c r="Y67" s="16"/>
      <c r="Z67" s="16"/>
      <c r="AA67" s="617"/>
      <c r="AB67" s="617"/>
      <c r="AC67" s="35">
        <v>6</v>
      </c>
      <c r="AD67" s="18"/>
      <c r="AE67" s="14">
        <f t="shared" si="43"/>
        <v>-109.09090909090901</v>
      </c>
      <c r="AF67" s="429">
        <f t="shared" si="9"/>
        <v>0.95454545454545459</v>
      </c>
      <c r="AG67" s="615">
        <f>AF73</f>
        <v>0.95404612444083625</v>
      </c>
    </row>
    <row r="68" spans="1:33" ht="15.75" customHeight="1">
      <c r="A68" s="620" t="s">
        <v>183</v>
      </c>
      <c r="B68" s="442" t="s">
        <v>32</v>
      </c>
      <c r="C68" s="616" t="s">
        <v>36</v>
      </c>
      <c r="D68" s="616"/>
      <c r="E68" s="29">
        <v>20.36</v>
      </c>
      <c r="F68" s="442">
        <v>4618</v>
      </c>
      <c r="G68" s="430">
        <f t="shared" si="45"/>
        <v>94022.48</v>
      </c>
      <c r="H68" s="33" t="s">
        <v>57</v>
      </c>
      <c r="I68" s="440">
        <v>17</v>
      </c>
      <c r="J68" s="31">
        <v>2400</v>
      </c>
      <c r="K68" s="12">
        <f t="shared" si="1"/>
        <v>141.1764705882353</v>
      </c>
      <c r="L68" s="440">
        <v>17</v>
      </c>
      <c r="M68" s="13">
        <f t="shared" si="46"/>
        <v>2289.9173553719011</v>
      </c>
      <c r="N68" s="12">
        <f t="shared" si="3"/>
        <v>134.70102090422947</v>
      </c>
      <c r="O68" s="14">
        <f t="shared" si="4"/>
        <v>0</v>
      </c>
      <c r="P68" s="15">
        <f t="shared" si="5"/>
        <v>-6.475449684005838</v>
      </c>
      <c r="Q68" s="429">
        <f t="shared" si="6"/>
        <v>0.95413223140495862</v>
      </c>
      <c r="R68" s="615"/>
      <c r="S68" s="34">
        <v>0.18124999999999999</v>
      </c>
      <c r="T68" s="34">
        <v>0.26527777777777778</v>
      </c>
      <c r="U68" s="430">
        <f t="shared" ref="U68:U72" si="48">(S68-T67)*24*60</f>
        <v>31.000000000000011</v>
      </c>
      <c r="V68" s="441">
        <f t="shared" si="47"/>
        <v>121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-110.08264462809893</v>
      </c>
      <c r="AF68" s="429">
        <f t="shared" si="9"/>
        <v>0.95413223140495873</v>
      </c>
      <c r="AG68" s="615"/>
    </row>
    <row r="69" spans="1:33" ht="15.75" customHeight="1">
      <c r="A69" s="620" t="s">
        <v>183</v>
      </c>
      <c r="B69" s="442" t="s">
        <v>32</v>
      </c>
      <c r="C69" s="616" t="s">
        <v>54</v>
      </c>
      <c r="D69" s="616"/>
      <c r="E69" s="29">
        <v>20.21</v>
      </c>
      <c r="F69" s="442">
        <v>3285</v>
      </c>
      <c r="G69" s="430">
        <f t="shared" si="45"/>
        <v>66389.850000000006</v>
      </c>
      <c r="H69" s="33" t="s">
        <v>57</v>
      </c>
      <c r="I69" s="440">
        <v>15</v>
      </c>
      <c r="J69" s="31">
        <v>2400</v>
      </c>
      <c r="K69" s="12">
        <f t="shared" ref="K69:K73" si="49">J69/I69</f>
        <v>160</v>
      </c>
      <c r="L69" s="440">
        <v>15</v>
      </c>
      <c r="M69" s="13">
        <f t="shared" si="46"/>
        <v>2291.8604651162786</v>
      </c>
      <c r="N69" s="12">
        <f t="shared" ref="N69:N73" si="50">M69/L69</f>
        <v>152.79069767441857</v>
      </c>
      <c r="O69" s="14">
        <f t="shared" ref="O69:O73" si="51">L69-I69</f>
        <v>0</v>
      </c>
      <c r="P69" s="15">
        <f t="shared" ref="P69:P73" si="52">N69-K69</f>
        <v>-7.209302325581433</v>
      </c>
      <c r="Q69" s="429">
        <f t="shared" ref="Q69:Q73" si="53">N69/K69</f>
        <v>0.95494186046511609</v>
      </c>
      <c r="R69" s="615"/>
      <c r="S69" s="34">
        <v>0.27083333333333331</v>
      </c>
      <c r="T69" s="34">
        <v>0.33055555555555555</v>
      </c>
      <c r="U69" s="430">
        <f t="shared" si="48"/>
        <v>7.9999999999999716</v>
      </c>
      <c r="V69" s="441">
        <f t="shared" si="47"/>
        <v>86.000000000000014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-108.13953488372135</v>
      </c>
      <c r="AF69" s="429">
        <f t="shared" ref="AF69:AF73" si="54">M69/J69</f>
        <v>0.95494186046511609</v>
      </c>
      <c r="AG69" s="615"/>
    </row>
    <row r="70" spans="1:33" ht="15.75" customHeight="1">
      <c r="A70" s="620" t="s">
        <v>183</v>
      </c>
      <c r="B70" s="442" t="s">
        <v>32</v>
      </c>
      <c r="C70" s="616" t="s">
        <v>55</v>
      </c>
      <c r="D70" s="616"/>
      <c r="E70" s="29">
        <v>22.69</v>
      </c>
      <c r="F70" s="442">
        <v>3158</v>
      </c>
      <c r="G70" s="430">
        <f t="shared" si="45"/>
        <v>71655.02</v>
      </c>
      <c r="H70" s="33" t="s">
        <v>57</v>
      </c>
      <c r="I70" s="440">
        <v>15</v>
      </c>
      <c r="J70" s="31">
        <v>2400</v>
      </c>
      <c r="K70" s="12">
        <f t="shared" si="49"/>
        <v>160</v>
      </c>
      <c r="L70" s="440">
        <v>15</v>
      </c>
      <c r="M70" s="13">
        <f t="shared" si="46"/>
        <v>2282.8915662650593</v>
      </c>
      <c r="N70" s="12">
        <f t="shared" si="50"/>
        <v>152.19277108433729</v>
      </c>
      <c r="O70" s="14">
        <f t="shared" si="51"/>
        <v>0</v>
      </c>
      <c r="P70" s="15">
        <f t="shared" si="52"/>
        <v>-7.807228915662705</v>
      </c>
      <c r="Q70" s="429">
        <f t="shared" si="53"/>
        <v>0.95120481927710809</v>
      </c>
      <c r="R70" s="615"/>
      <c r="S70" s="34">
        <v>0.33402777777777776</v>
      </c>
      <c r="T70" s="34">
        <v>0.39166666666666666</v>
      </c>
      <c r="U70" s="430">
        <f t="shared" si="48"/>
        <v>4.9999999999999822</v>
      </c>
      <c r="V70" s="441">
        <f t="shared" si="47"/>
        <v>83.000000000000028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-117.10843373494072</v>
      </c>
      <c r="AF70" s="429">
        <f t="shared" si="54"/>
        <v>0.95120481927710798</v>
      </c>
      <c r="AG70" s="615"/>
    </row>
    <row r="71" spans="1:33" ht="15.75" customHeight="1">
      <c r="A71" s="620" t="s">
        <v>2104</v>
      </c>
      <c r="B71" s="442" t="s">
        <v>32</v>
      </c>
      <c r="C71" s="616" t="s">
        <v>949</v>
      </c>
      <c r="D71" s="616"/>
      <c r="E71" s="29">
        <v>25.98</v>
      </c>
      <c r="F71" s="442">
        <v>5737</v>
      </c>
      <c r="G71" s="430">
        <f t="shared" si="45"/>
        <v>149047.26</v>
      </c>
      <c r="H71" s="33" t="s">
        <v>57</v>
      </c>
      <c r="I71" s="440">
        <v>17</v>
      </c>
      <c r="J71" s="31">
        <v>2400</v>
      </c>
      <c r="K71" s="12">
        <f t="shared" si="49"/>
        <v>141.1764705882353</v>
      </c>
      <c r="L71" s="440">
        <v>17</v>
      </c>
      <c r="M71" s="13">
        <f t="shared" si="46"/>
        <v>2294.7999999999997</v>
      </c>
      <c r="N71" s="12">
        <f t="shared" si="50"/>
        <v>134.98823529411763</v>
      </c>
      <c r="O71" s="14">
        <f t="shared" si="51"/>
        <v>0</v>
      </c>
      <c r="P71" s="15">
        <f t="shared" si="52"/>
        <v>-6.1882352941176748</v>
      </c>
      <c r="Q71" s="429">
        <f t="shared" si="53"/>
        <v>0.9561666666666665</v>
      </c>
      <c r="R71" s="615"/>
      <c r="S71" s="34">
        <v>0.39583333333333331</v>
      </c>
      <c r="T71" s="34">
        <v>0.5</v>
      </c>
      <c r="U71" s="430">
        <f t="shared" si="48"/>
        <v>5.9999999999999787</v>
      </c>
      <c r="V71" s="441">
        <f t="shared" si="47"/>
        <v>150.00000000000003</v>
      </c>
      <c r="W71" s="16">
        <f>T71</f>
        <v>0.5</v>
      </c>
      <c r="X71" s="16">
        <f>S72</f>
        <v>0.54097222222222219</v>
      </c>
      <c r="Y71" s="16"/>
      <c r="Z71" s="16"/>
      <c r="AA71" s="617"/>
      <c r="AB71" s="617"/>
      <c r="AC71" s="35"/>
      <c r="AD71" s="18"/>
      <c r="AE71" s="14">
        <f t="shared" si="43"/>
        <v>-105.20000000000027</v>
      </c>
      <c r="AF71" s="429">
        <f t="shared" si="54"/>
        <v>0.9561666666666665</v>
      </c>
      <c r="AG71" s="615"/>
    </row>
    <row r="72" spans="1:33" ht="15.75" customHeight="1">
      <c r="A72" s="620" t="s">
        <v>2103</v>
      </c>
      <c r="B72" s="442" t="s">
        <v>32</v>
      </c>
      <c r="C72" s="616" t="s">
        <v>56</v>
      </c>
      <c r="D72" s="616"/>
      <c r="E72" s="29">
        <v>19.02</v>
      </c>
      <c r="F72" s="442">
        <v>6673</v>
      </c>
      <c r="G72" s="430">
        <f t="shared" si="45"/>
        <v>126920.45999999999</v>
      </c>
      <c r="H72" s="33" t="s">
        <v>57</v>
      </c>
      <c r="I72" s="440">
        <v>14</v>
      </c>
      <c r="J72" s="31">
        <v>2400</v>
      </c>
      <c r="K72" s="12">
        <f t="shared" si="49"/>
        <v>171.42857142857142</v>
      </c>
      <c r="L72" s="440">
        <v>14</v>
      </c>
      <c r="M72" s="13">
        <f t="shared" si="46"/>
        <v>2287.8857142857137</v>
      </c>
      <c r="N72" s="12">
        <f t="shared" si="50"/>
        <v>163.42040816326525</v>
      </c>
      <c r="O72" s="14">
        <f t="shared" si="51"/>
        <v>0</v>
      </c>
      <c r="P72" s="15">
        <f t="shared" si="52"/>
        <v>-8.0081632653061661</v>
      </c>
      <c r="Q72" s="429">
        <f t="shared" si="53"/>
        <v>0.95328571428571407</v>
      </c>
      <c r="R72" s="615"/>
      <c r="S72" s="34">
        <v>0.54097222222222219</v>
      </c>
      <c r="T72" s="34">
        <v>0.66249999999999998</v>
      </c>
      <c r="U72" s="430">
        <f t="shared" si="48"/>
        <v>58.99999999999995</v>
      </c>
      <c r="V72" s="441">
        <f t="shared" si="47"/>
        <v>175.00000000000003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-112.11428571428632</v>
      </c>
      <c r="AF72" s="429">
        <f t="shared" si="54"/>
        <v>0.95328571428571407</v>
      </c>
      <c r="AG72" s="615"/>
    </row>
    <row r="73" spans="1:33" ht="16.5" customHeight="1">
      <c r="A73" s="621" t="s">
        <v>2105</v>
      </c>
      <c r="B73" s="29" t="s">
        <v>175</v>
      </c>
      <c r="C73" s="612"/>
      <c r="D73" s="613"/>
      <c r="E73" s="431"/>
      <c r="F73" s="30"/>
      <c r="G73" s="12"/>
      <c r="H73" s="442"/>
      <c r="I73" s="23">
        <v>15.333333333333334</v>
      </c>
      <c r="J73" s="31">
        <v>2400</v>
      </c>
      <c r="K73" s="12">
        <f t="shared" si="49"/>
        <v>156.52173913043478</v>
      </c>
      <c r="L73" s="23">
        <v>15.333333333333334</v>
      </c>
      <c r="M73" s="13">
        <f>AVERAGE(M67:M72)</f>
        <v>2289.710698658007</v>
      </c>
      <c r="N73" s="12">
        <f t="shared" si="50"/>
        <v>149.32895860813088</v>
      </c>
      <c r="O73" s="14">
        <f t="shared" si="51"/>
        <v>0</v>
      </c>
      <c r="P73" s="15">
        <f t="shared" si="52"/>
        <v>-7.1927805223039059</v>
      </c>
      <c r="Q73" s="429">
        <f t="shared" si="53"/>
        <v>0.95404612444083614</v>
      </c>
      <c r="R73" s="615"/>
      <c r="S73" s="34"/>
      <c r="T73" s="34"/>
      <c r="U73" s="12"/>
      <c r="V73" s="441"/>
      <c r="W73" s="12"/>
      <c r="X73" s="12"/>
      <c r="Y73" s="24">
        <f>SUM(Y67:Y72)</f>
        <v>0</v>
      </c>
      <c r="Z73" s="24">
        <f>SUM(Z67:Z72)</f>
        <v>0</v>
      </c>
      <c r="AA73" s="614"/>
      <c r="AB73" s="614"/>
      <c r="AC73" s="24">
        <v>6</v>
      </c>
      <c r="AD73" s="24">
        <f>SUM(AD67:AD72)</f>
        <v>0</v>
      </c>
      <c r="AE73" s="14">
        <f t="shared" si="43"/>
        <v>-110.289301341993</v>
      </c>
      <c r="AF73" s="429">
        <f t="shared" si="54"/>
        <v>0.95404612444083625</v>
      </c>
      <c r="AG73" s="615"/>
    </row>
    <row r="74" spans="1:33">
      <c r="D74" s="25"/>
      <c r="E74" s="25"/>
    </row>
  </sheetData>
  <mergeCells count="19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31:A39"/>
    <mergeCell ref="C31:D31"/>
    <mergeCell ref="R31:R39"/>
    <mergeCell ref="AA31:AB31"/>
    <mergeCell ref="AA36:AB36"/>
    <mergeCell ref="C37:D37"/>
    <mergeCell ref="AG31:AG39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AA39:AB39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40:A48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G62:AG66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A67:A73"/>
    <mergeCell ref="C67:D67"/>
    <mergeCell ref="R67:R73"/>
    <mergeCell ref="AA67:AB67"/>
    <mergeCell ref="AA72:AB72"/>
    <mergeCell ref="C73:D73"/>
    <mergeCell ref="AA73:AB73"/>
    <mergeCell ref="A62:A66"/>
    <mergeCell ref="C62:D62"/>
    <mergeCell ref="R62:R66"/>
    <mergeCell ref="AA62:AB62"/>
    <mergeCell ref="AG67:AG73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</mergeCells>
  <phoneticPr fontId="3" type="noConversion"/>
  <conditionalFormatting sqref="O61:O62 O65:O73 O5:O9 O14:O16 O22:O59">
    <cfRule type="cellIs" dxfId="1483" priority="48" operator="greaterThan">
      <formula>0</formula>
    </cfRule>
  </conditionalFormatting>
  <conditionalFormatting sqref="P5:P7 P65 AE65 P67:P72 P31:P38 P62 P9 P14:P16 P23:P29 P54:P59 P40:P52 AE5:AE62 AE67:AE73">
    <cfRule type="cellIs" dxfId="1482" priority="52" operator="lessThan">
      <formula>0</formula>
    </cfRule>
  </conditionalFormatting>
  <conditionalFormatting sqref="AF65 Q61:Q62 Q65:Q73 Q5:Q9 Q14:Q16 Q22:Q59 AF5:AF62 AF67:AF73">
    <cfRule type="cellIs" dxfId="1481" priority="49" operator="greaterThan">
      <formula>1</formula>
    </cfRule>
    <cfRule type="cellIs" dxfId="1480" priority="50" operator="lessThan">
      <formula>0.8</formula>
    </cfRule>
  </conditionalFormatting>
  <conditionalFormatting sqref="AG15:AG16 R15:R16 AG65 R22:R28 AG22:AG28 AG61:AG62 R61:R62 R65:R73 AG5:AG9 R5:R9 AG30:AG59 R30:R59">
    <cfRule type="cellIs" dxfId="1479" priority="54" operator="lessThan">
      <formula>0.8</formula>
    </cfRule>
  </conditionalFormatting>
  <conditionalFormatting sqref="AG49">
    <cfRule type="cellIs" dxfId="1478" priority="56" operator="lessThan">
      <formula>0.8</formula>
    </cfRule>
  </conditionalFormatting>
  <conditionalFormatting sqref="AG23:AG28">
    <cfRule type="cellIs" dxfId="1477" priority="53" operator="lessThan">
      <formula>0.8</formula>
    </cfRule>
  </conditionalFormatting>
  <conditionalFormatting sqref="AG31">
    <cfRule type="cellIs" dxfId="1476" priority="55" operator="lessThan">
      <formula>0.8</formula>
    </cfRule>
  </conditionalFormatting>
  <conditionalFormatting sqref="AG40:AG47">
    <cfRule type="cellIs" dxfId="1475" priority="51" operator="lessThan">
      <formula>0.8</formula>
    </cfRule>
  </conditionalFormatting>
  <conditionalFormatting sqref="AE66">
    <cfRule type="cellIs" dxfId="1474" priority="47" operator="lessThan">
      <formula>0</formula>
    </cfRule>
  </conditionalFormatting>
  <conditionalFormatting sqref="AF66">
    <cfRule type="cellIs" dxfId="1473" priority="45" operator="greaterThan">
      <formula>1</formula>
    </cfRule>
    <cfRule type="cellIs" dxfId="1472" priority="46" operator="lessThan">
      <formula>0.8</formula>
    </cfRule>
  </conditionalFormatting>
  <conditionalFormatting sqref="O17:O18">
    <cfRule type="cellIs" dxfId="1471" priority="40" operator="greaterThan">
      <formula>0</formula>
    </cfRule>
  </conditionalFormatting>
  <conditionalFormatting sqref="P17:P18">
    <cfRule type="cellIs" dxfId="1470" priority="43" operator="lessThan">
      <formula>0</formula>
    </cfRule>
  </conditionalFormatting>
  <conditionalFormatting sqref="Q17:Q18">
    <cfRule type="cellIs" dxfId="1469" priority="41" operator="greaterThan">
      <formula>1</formula>
    </cfRule>
    <cfRule type="cellIs" dxfId="1468" priority="42" operator="lessThan">
      <formula>0.8</formula>
    </cfRule>
  </conditionalFormatting>
  <conditionalFormatting sqref="R17:R18 AG17:AG18">
    <cfRule type="cellIs" dxfId="1467" priority="44" operator="lessThan">
      <formula>0.8</formula>
    </cfRule>
  </conditionalFormatting>
  <conditionalFormatting sqref="O10:O13">
    <cfRule type="cellIs" dxfId="1466" priority="36" operator="greaterThan">
      <formula>0</formula>
    </cfRule>
  </conditionalFormatting>
  <conditionalFormatting sqref="P10:P13">
    <cfRule type="cellIs" dxfId="1465" priority="39" operator="lessThan">
      <formula>0</formula>
    </cfRule>
  </conditionalFormatting>
  <conditionalFormatting sqref="Q10:Q13">
    <cfRule type="cellIs" dxfId="1464" priority="37" operator="greaterThan">
      <formula>1</formula>
    </cfRule>
    <cfRule type="cellIs" dxfId="1463" priority="38" operator="lessThan">
      <formula>0.8</formula>
    </cfRule>
  </conditionalFormatting>
  <conditionalFormatting sqref="O60">
    <cfRule type="cellIs" dxfId="1462" priority="31" operator="greaterThan">
      <formula>0</formula>
    </cfRule>
  </conditionalFormatting>
  <conditionalFormatting sqref="P60">
    <cfRule type="cellIs" dxfId="1461" priority="34" operator="lessThan">
      <formula>0</formula>
    </cfRule>
  </conditionalFormatting>
  <conditionalFormatting sqref="Q60">
    <cfRule type="cellIs" dxfId="1460" priority="32" operator="greaterThan">
      <formula>1</formula>
    </cfRule>
    <cfRule type="cellIs" dxfId="1459" priority="33" operator="lessThan">
      <formula>0.8</formula>
    </cfRule>
  </conditionalFormatting>
  <conditionalFormatting sqref="R60 AG60">
    <cfRule type="cellIs" dxfId="1458" priority="35" operator="lessThan">
      <formula>0.8</formula>
    </cfRule>
  </conditionalFormatting>
  <conditionalFormatting sqref="O64">
    <cfRule type="cellIs" dxfId="1457" priority="26" operator="greaterThan">
      <formula>0</formula>
    </cfRule>
  </conditionalFormatting>
  <conditionalFormatting sqref="P64 AE64">
    <cfRule type="cellIs" dxfId="1456" priority="29" operator="lessThan">
      <formula>0</formula>
    </cfRule>
  </conditionalFormatting>
  <conditionalFormatting sqref="Q64 AF64">
    <cfRule type="cellIs" dxfId="1455" priority="27" operator="greaterThan">
      <formula>1</formula>
    </cfRule>
    <cfRule type="cellIs" dxfId="1454" priority="28" operator="lessThan">
      <formula>0.8</formula>
    </cfRule>
  </conditionalFormatting>
  <conditionalFormatting sqref="R64 AG64">
    <cfRule type="cellIs" dxfId="1453" priority="30" operator="lessThan">
      <formula>0.8</formula>
    </cfRule>
  </conditionalFormatting>
  <conditionalFormatting sqref="O19:O20">
    <cfRule type="cellIs" dxfId="1452" priority="21" operator="greaterThan">
      <formula>0</formula>
    </cfRule>
  </conditionalFormatting>
  <conditionalFormatting sqref="P19:P20">
    <cfRule type="cellIs" dxfId="1451" priority="24" operator="lessThan">
      <formula>0</formula>
    </cfRule>
  </conditionalFormatting>
  <conditionalFormatting sqref="Q19:Q20">
    <cfRule type="cellIs" dxfId="1450" priority="22" operator="greaterThan">
      <formula>1</formula>
    </cfRule>
    <cfRule type="cellIs" dxfId="1449" priority="23" operator="lessThan">
      <formula>0.8</formula>
    </cfRule>
  </conditionalFormatting>
  <conditionalFormatting sqref="R19:R20 AG19:AG20">
    <cfRule type="cellIs" dxfId="1448" priority="25" operator="lessThan">
      <formula>0.8</formula>
    </cfRule>
  </conditionalFormatting>
  <conditionalFormatting sqref="R29 AG29">
    <cfRule type="cellIs" dxfId="1447" priority="20" operator="lessThan">
      <formula>0.8</formula>
    </cfRule>
  </conditionalFormatting>
  <conditionalFormatting sqref="AG29">
    <cfRule type="cellIs" dxfId="1446" priority="19" operator="lessThan">
      <formula>0.8</formula>
    </cfRule>
  </conditionalFormatting>
  <conditionalFormatting sqref="O63">
    <cfRule type="cellIs" dxfId="1445" priority="14" operator="greaterThan">
      <formula>0</formula>
    </cfRule>
  </conditionalFormatting>
  <conditionalFormatting sqref="P63 AE63">
    <cfRule type="cellIs" dxfId="1444" priority="17" operator="lessThan">
      <formula>0</formula>
    </cfRule>
  </conditionalFormatting>
  <conditionalFormatting sqref="Q63 AF63">
    <cfRule type="cellIs" dxfId="1443" priority="15" operator="greaterThan">
      <formula>1</formula>
    </cfRule>
    <cfRule type="cellIs" dxfId="1442" priority="16" operator="lessThan">
      <formula>0.8</formula>
    </cfRule>
  </conditionalFormatting>
  <conditionalFormatting sqref="R63 AG63">
    <cfRule type="cellIs" dxfId="1441" priority="18" operator="lessThan">
      <formula>0.8</formula>
    </cfRule>
  </conditionalFormatting>
  <conditionalFormatting sqref="O21">
    <cfRule type="cellIs" dxfId="1440" priority="9" operator="greaterThan">
      <formula>0</formula>
    </cfRule>
  </conditionalFormatting>
  <conditionalFormatting sqref="P21">
    <cfRule type="cellIs" dxfId="1439" priority="12" operator="lessThan">
      <formula>0</formula>
    </cfRule>
  </conditionalFormatting>
  <conditionalFormatting sqref="Q21">
    <cfRule type="cellIs" dxfId="1438" priority="10" operator="greaterThan">
      <formula>1</formula>
    </cfRule>
    <cfRule type="cellIs" dxfId="1437" priority="11" operator="lessThan">
      <formula>0.8</formula>
    </cfRule>
  </conditionalFormatting>
  <conditionalFormatting sqref="AG21 R21">
    <cfRule type="cellIs" dxfId="1436" priority="13" operator="lessThan">
      <formula>0.8</formula>
    </cfRule>
  </conditionalFormatting>
  <conditionalFormatting sqref="P8">
    <cfRule type="cellIs" dxfId="1435" priority="8" operator="lessThan">
      <formula>0</formula>
    </cfRule>
  </conditionalFormatting>
  <conditionalFormatting sqref="P22">
    <cfRule type="cellIs" dxfId="1434" priority="7" operator="lessThan">
      <formula>0</formula>
    </cfRule>
  </conditionalFormatting>
  <conditionalFormatting sqref="P30">
    <cfRule type="cellIs" dxfId="1433" priority="6" operator="lessThan">
      <formula>0</formula>
    </cfRule>
  </conditionalFormatting>
  <conditionalFormatting sqref="P39">
    <cfRule type="cellIs" dxfId="1432" priority="5" operator="lessThan">
      <formula>0</formula>
    </cfRule>
  </conditionalFormatting>
  <conditionalFormatting sqref="P53">
    <cfRule type="cellIs" dxfId="1431" priority="4" operator="lessThan">
      <formula>0</formula>
    </cfRule>
  </conditionalFormatting>
  <conditionalFormatting sqref="P61">
    <cfRule type="cellIs" dxfId="1430" priority="3" operator="lessThan">
      <formula>0</formula>
    </cfRule>
  </conditionalFormatting>
  <conditionalFormatting sqref="P66">
    <cfRule type="cellIs" dxfId="1429" priority="2" operator="lessThan">
      <formula>0</formula>
    </cfRule>
  </conditionalFormatting>
  <conditionalFormatting sqref="P73">
    <cfRule type="cellIs" dxfId="1428" priority="1" operator="lessThan">
      <formula>0</formula>
    </cfRule>
  </conditionalFormatting>
  <dataValidations count="1">
    <dataValidation type="list" allowBlank="1" showInputMessage="1" showErrorMessage="1" sqref="AB8 AA5:AB7 AA8:AA65 AB10:AB62 AA66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B1" sqref="B1:J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1932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1933</v>
      </c>
      <c r="C3" s="601" t="str">
        <f>TEXT('0622 4度C'!A2,"yyyy.mm.ddaaaa")</f>
        <v>2026.06.22星期一</v>
      </c>
      <c r="D3" s="602"/>
      <c r="E3" s="39" t="s">
        <v>187</v>
      </c>
      <c r="F3" s="603">
        <f>'0622 4度C'!D1</f>
        <v>187400</v>
      </c>
      <c r="G3" s="604"/>
      <c r="H3" s="39" t="s">
        <v>91</v>
      </c>
      <c r="I3" s="605">
        <f>'0622 4度C'!F1</f>
        <v>6498359.7999999989</v>
      </c>
      <c r="J3" s="606"/>
      <c r="K3" s="40"/>
      <c r="L3" s="41"/>
      <c r="M3" s="42"/>
      <c r="N3" s="42"/>
    </row>
    <row r="4" spans="2:17" ht="28.5" customHeight="1">
      <c r="B4" s="607" t="s">
        <v>189</v>
      </c>
      <c r="C4" s="593" t="s">
        <v>93</v>
      </c>
      <c r="D4" s="594"/>
      <c r="E4" s="610" t="s">
        <v>286</v>
      </c>
      <c r="F4" s="611"/>
      <c r="G4" s="610" t="s">
        <v>95</v>
      </c>
      <c r="H4" s="611"/>
      <c r="I4" s="610" t="s">
        <v>1934</v>
      </c>
      <c r="J4" s="611"/>
      <c r="K4" s="591" t="s">
        <v>97</v>
      </c>
      <c r="L4" s="592"/>
      <c r="M4" s="592" t="s">
        <v>74</v>
      </c>
      <c r="N4" s="592"/>
    </row>
    <row r="5" spans="2:17" ht="28.5" customHeight="1">
      <c r="B5" s="608"/>
      <c r="C5" s="593" t="s">
        <v>195</v>
      </c>
      <c r="D5" s="594"/>
      <c r="E5" s="593" t="s">
        <v>99</v>
      </c>
      <c r="F5" s="594"/>
      <c r="G5" s="595" t="s">
        <v>292</v>
      </c>
      <c r="H5" s="596"/>
      <c r="I5" s="597" t="s">
        <v>1935</v>
      </c>
      <c r="J5" s="598"/>
      <c r="K5" s="43" t="s">
        <v>102</v>
      </c>
      <c r="L5" s="44" t="s">
        <v>78</v>
      </c>
      <c r="M5" s="43" t="s">
        <v>102</v>
      </c>
      <c r="N5" s="44" t="s">
        <v>200</v>
      </c>
    </row>
    <row r="6" spans="2:17" ht="28.5" customHeight="1">
      <c r="B6" s="608"/>
      <c r="C6" s="593" t="s">
        <v>58</v>
      </c>
      <c r="D6" s="594"/>
      <c r="E6" s="585">
        <f>AVERAGE(D13:M13)</f>
        <v>153.71166190421374</v>
      </c>
      <c r="F6" s="586">
        <f>AVERAGE(D31:O31,D13:J13)</f>
        <v>159.80418967619781</v>
      </c>
      <c r="G6" s="587">
        <f>AVERAGE(D13:J13)</f>
        <v>159.80418967619781</v>
      </c>
      <c r="H6" s="588"/>
      <c r="I6" s="587">
        <f>AVERAGE(K13:M13)</f>
        <v>139.4957637695843</v>
      </c>
      <c r="J6" s="588"/>
      <c r="K6" s="589">
        <f>'0622 4度C'!Y2</f>
        <v>0</v>
      </c>
      <c r="L6" s="574">
        <f>'0622 4度C'!Z2</f>
        <v>0</v>
      </c>
      <c r="M6" s="590">
        <f>'0622 4度C'!AC2</f>
        <v>59</v>
      </c>
      <c r="N6" s="574">
        <f>'0622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147.11760892772637</v>
      </c>
      <c r="F7" s="578">
        <f>AVERAGE(D32:O32,D14:J14)</f>
        <v>153.01994592862744</v>
      </c>
      <c r="G7" s="579">
        <f>AVERAGE(D14:J14)</f>
        <v>153.01994592862744</v>
      </c>
      <c r="H7" s="580"/>
      <c r="I7" s="579">
        <f>AVERAGE(K14:M14)</f>
        <v>133.34548925895717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0.95708707003776039</v>
      </c>
      <c r="F8" s="582">
        <f>AVERAGE(D15:J15,D33:O33)</f>
        <v>0.95759247207938869</v>
      </c>
      <c r="G8" s="583">
        <f>AVERAGE(D15:J15)</f>
        <v>0.95759247207938869</v>
      </c>
      <c r="H8" s="584"/>
      <c r="I8" s="583">
        <f>AVERAGE(K15:M15)</f>
        <v>0.9559077986072948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297</v>
      </c>
      <c r="N9" s="42"/>
      <c r="O9" s="42"/>
      <c r="P9" s="42"/>
      <c r="Q9" s="42"/>
    </row>
    <row r="10" spans="2:17" ht="30" customHeight="1">
      <c r="B10" s="557" t="s">
        <v>105</v>
      </c>
      <c r="C10" s="558"/>
      <c r="D10" s="559" t="s">
        <v>1936</v>
      </c>
      <c r="E10" s="560"/>
      <c r="F10" s="560"/>
      <c r="G10" s="560"/>
      <c r="H10" s="560"/>
      <c r="I10" s="560"/>
      <c r="J10" s="561"/>
      <c r="K10" s="562" t="s">
        <v>299</v>
      </c>
      <c r="L10" s="563"/>
      <c r="M10" s="564"/>
      <c r="P10" s="48"/>
      <c r="Q10" s="48"/>
    </row>
    <row r="11" spans="2:17" ht="17.25" customHeight="1">
      <c r="B11" s="565" t="s">
        <v>1937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239</v>
      </c>
      <c r="C13" s="55" t="s">
        <v>1938</v>
      </c>
      <c r="D13" s="56">
        <f>SUMIFS('0622 4度C'!$K:$K,'0622 4度C'!$A:$A,"新豐6線",'0622 4度C'!$B:$B,"平均")</f>
        <v>130.43478260869566</v>
      </c>
      <c r="E13" s="57">
        <f>SUMIFS('0622 4度C'!$K:$K,'0622 4度C'!$A:$A,"新豐2線",'0622 4度C'!$B:$B,"平均")</f>
        <v>85.22727272727272</v>
      </c>
      <c r="F13" s="58">
        <f>SUMIFS('0622 4度C'!$K:$K,'0622 4度C'!$A:$A,"新豐5線",'0622 4度C'!$B:$B,"平均")</f>
        <v>87.786259541984734</v>
      </c>
      <c r="G13" s="58">
        <f>SUMIFS('0622 4度C'!$K:$K,'0622 4度C'!$A:$A,"新豐7線",'0622 4度C'!$B:$B,"平均")</f>
        <v>115.38461538461539</v>
      </c>
      <c r="H13" s="58">
        <f>SUMIFS('0622 4度C'!$K:$K,'0622 4度C'!$A:$A,"新豐3線",'0622 4度C'!$B:$B,"平均")</f>
        <v>255.81395348837211</v>
      </c>
      <c r="I13" s="58">
        <f>SUMIFS('0622 4度C'!$K:$K,'0622 4度C'!$A:$A,"新豐1線",'0622 4度C'!$B:$B,"平均")</f>
        <v>119.65811965811965</v>
      </c>
      <c r="J13" s="59">
        <f>SUMIFS('0622 4度C'!$K:$K,'0622 4度C'!$A:$A,"新豐10線",'0622 4度C'!$B:$B,"平均")</f>
        <v>324.32432432432432</v>
      </c>
      <c r="K13" s="60">
        <f>SUMIFS('0622 4度C'!$K:$K,'0622 4度C'!$A:$A,"新豐8線",'0622 4度C'!$B:$B,"平均")</f>
        <v>137.14285714285714</v>
      </c>
      <c r="L13" s="61">
        <f>SUMIFS('0622 4度C'!$K:$K,'0622 4度C'!$A:$A,"新豐9線",'0622 4度C'!$B:$B,"平均")</f>
        <v>124.822695035461</v>
      </c>
      <c r="M13" s="59">
        <f>SUMIFS('0622 4度C'!$K:$K,'0622 4度C'!$A:$A,"新豐4線",'0622 4度C'!$B:$B,"平均")</f>
        <v>156.52173913043478</v>
      </c>
    </row>
    <row r="14" spans="2:17" ht="39.6" customHeight="1">
      <c r="B14" s="570"/>
      <c r="C14" s="62" t="s">
        <v>111</v>
      </c>
      <c r="D14" s="63">
        <f>SUMIFS('0622 4度C'!$N:$N,'0622 4度C'!$A:$A,"新豐6線",'0622 4度C'!$B:$B,"平均")</f>
        <v>125.26194672933798</v>
      </c>
      <c r="E14" s="64">
        <f>SUMIFS('0622 4度C'!$N:$N,'0622 4度C'!$A:$A,"新豐2線",'0622 4度C'!$B:$B,"平均")</f>
        <v>81.557972505104317</v>
      </c>
      <c r="F14" s="64">
        <f>SUMIFS('0622 4度C'!$N:$N,'0622 4度C'!$A:$A,"新豐5線",'0622 4度C'!$B:$B,"平均")</f>
        <v>83.983284126041923</v>
      </c>
      <c r="G14" s="64">
        <f>SUMIFS('0622 4度C'!$N:$N,'0622 4度C'!$A:$A,"新豐7線",'0622 4度C'!$B:$B,"平均")</f>
        <v>110.47070656583496</v>
      </c>
      <c r="H14" s="64">
        <f>SUMIFS('0622 4度C'!$N:$N,'0622 4度C'!$A:$A,"新豐3線",'0622 4度C'!$B:$B,"平均")</f>
        <v>245.12075516695387</v>
      </c>
      <c r="I14" s="64">
        <f>SUMIFS('0622 4度C'!$N:$N,'0622 4度C'!$A:$A,"新豐1線",'0622 4度C'!$B:$B,"平均")</f>
        <v>114.51632735112533</v>
      </c>
      <c r="J14" s="65">
        <f>SUMIFS('0622 4度C'!$N:$N,'0622 4度C'!$A:$A,"新豐10線",'0622 4度C'!$B:$B,"平均")</f>
        <v>310.22862905599351</v>
      </c>
      <c r="K14" s="66">
        <f>SUMIFS('0622 4度C'!$N:$N,'0622 4度C'!$A:$A,"新豐8線",'0622 4度C'!$B:$B,"平均")</f>
        <v>131.30501601724487</v>
      </c>
      <c r="L14" s="67">
        <f>SUMIFS('0622 4度C'!$N:$N,'0622 4度C'!$A:$A,"新豐9線",'0622 4度C'!$B:$B,"平均")</f>
        <v>119.19791135224337</v>
      </c>
      <c r="M14" s="65">
        <f>SUMIFS('0622 4度C'!$N:$N,'0622 4度C'!$A:$A,"新豐4線",'0622 4度C'!$B:$B,"平均")</f>
        <v>149.53354040738327</v>
      </c>
    </row>
    <row r="15" spans="2:17" ht="40.15" customHeight="1">
      <c r="B15" s="571"/>
      <c r="C15" s="68" t="s">
        <v>1939</v>
      </c>
      <c r="D15" s="69">
        <f t="shared" ref="D15:M15" si="0">D14/D13</f>
        <v>0.96034159159159116</v>
      </c>
      <c r="E15" s="70">
        <f t="shared" si="0"/>
        <v>0.95694687739322404</v>
      </c>
      <c r="F15" s="70">
        <f t="shared" si="0"/>
        <v>0.95667914960969491</v>
      </c>
      <c r="G15" s="70">
        <f t="shared" si="0"/>
        <v>0.95741279023723624</v>
      </c>
      <c r="H15" s="70">
        <f t="shared" si="0"/>
        <v>0.95819931565263783</v>
      </c>
      <c r="I15" s="70">
        <f t="shared" si="0"/>
        <v>0.95702930714869028</v>
      </c>
      <c r="J15" s="71">
        <f t="shared" si="0"/>
        <v>0.9565382729226467</v>
      </c>
      <c r="K15" s="69">
        <f t="shared" si="0"/>
        <v>0.95743240845907718</v>
      </c>
      <c r="L15" s="70">
        <f t="shared" si="0"/>
        <v>0.95493781253785881</v>
      </c>
      <c r="M15" s="71">
        <f t="shared" si="0"/>
        <v>0.95535317482494864</v>
      </c>
    </row>
    <row r="16" spans="2:17" ht="17.25" customHeight="1">
      <c r="B16" s="572" t="s">
        <v>1940</v>
      </c>
      <c r="C16" s="72" t="s">
        <v>1941</v>
      </c>
      <c r="D16" s="73">
        <f>VLOOKUP("新豐6線",'0622 4度C'!$A:$T,19,0)</f>
        <v>0.70833333333333337</v>
      </c>
      <c r="E16" s="74">
        <f>VLOOKUP("新豐2線",'0622 4度C'!$A:$T,19,0)</f>
        <v>8.3333333333333329E-2</v>
      </c>
      <c r="F16" s="74">
        <f>VLOOKUP("新豐5線",'0622 4度C'!$A:$T,19,0)</f>
        <v>8.3333333333333329E-2</v>
      </c>
      <c r="G16" s="74">
        <f>VLOOKUP("新豐7線",'0622 4度C'!$A:$T,19,0)</f>
        <v>0.20833333333333334</v>
      </c>
      <c r="H16" s="74">
        <f>VLOOKUP("新豐3線",'0622 4度C'!$A:$T,19,0)</f>
        <v>8.3333333333333329E-2</v>
      </c>
      <c r="I16" s="74">
        <f>VLOOKUP("新豐1線",'0622 4度C'!$A:$T,19,0)</f>
        <v>0.16666666666666666</v>
      </c>
      <c r="J16" s="75">
        <f>VLOOKUP("新豐10線",'0622 4度C'!$A:$T,19,0)</f>
        <v>0.20833333333333334</v>
      </c>
      <c r="K16" s="76">
        <f>VLOOKUP("新豐8線",'0622 4度C'!$A:$T,19,0)</f>
        <v>8.3333333333333329E-2</v>
      </c>
      <c r="L16" s="77">
        <f>VLOOKUP("新豐9線",'0622 4度C'!$A:$T,19,0)</f>
        <v>8.3333333333333329E-2</v>
      </c>
      <c r="M16" s="78">
        <f>VLOOKUP("新豐4線",'0622 4度C'!$A:$T,19,0)</f>
        <v>8.3333333333333329E-2</v>
      </c>
    </row>
    <row r="17" spans="2:13" ht="17.25" customHeight="1">
      <c r="B17" s="573"/>
      <c r="C17" s="72" t="s">
        <v>115</v>
      </c>
      <c r="D17" s="76">
        <f>LOOKUP(2,1/(('0622 4度C'!$A:$A="新豐6線")*('0622 4度C'!$T:$T&lt;&gt;"")),'0622 4度C'!$T:$T)</f>
        <v>0.85138888888888897</v>
      </c>
      <c r="E17" s="74">
        <f>LOOKUP(2,1/(('0622 4度C'!$A:$A="新豐2線")*('0622 4度C'!$T:$T&lt;&gt;"")),'0622 4度C'!$T:$T)</f>
        <v>0.66249999999999998</v>
      </c>
      <c r="F17" s="74">
        <f>LOOKUP(2,1/(('0622 4度C'!$A:$A="新豐5線")*('0622 4度C'!$T:$T&lt;&gt;"")),'0622 4度C'!$T:$T)</f>
        <v>0.80902777777777779</v>
      </c>
      <c r="G17" s="74">
        <f>LOOKUP(2,1/(('0622 4度C'!$A:$A="新豐7線")*('0622 4度C'!$T:$T&lt;&gt;"")),'0622 4度C'!$T:$T)</f>
        <v>0.82430555555555551</v>
      </c>
      <c r="H17" s="74">
        <f>LOOKUP(2,1/(('0622 4度C'!$A:$A="新豐3線")*('0622 4度C'!$T:$T&lt;&gt;"")),'0622 4度C'!$T:$T)</f>
        <v>0.39027777777777772</v>
      </c>
      <c r="I17" s="74">
        <f>LOOKUP(2,1/(('0622 4度C'!$A:$A="新豐1線")*('0622 4度C'!$T:$T&lt;&gt;"")),'0622 4度C'!$T:$T)</f>
        <v>0.85069444444444453</v>
      </c>
      <c r="J17" s="75">
        <f>LOOKUP(2,1/(('0622 4度C'!$A:$A="新豐10線")*('0622 4度C'!$T:$T&lt;&gt;"")),'0622 4度C'!$T:$T)</f>
        <v>0.38402777777777775</v>
      </c>
      <c r="K17" s="73">
        <f>LOOKUP(2,1/(('0622 4度C'!$A:$A="新豐8線")*('0622 4度C'!$T:$T&lt;&gt;"")),'0622 4度C'!$T:$T)</f>
        <v>0.71666666666666656</v>
      </c>
      <c r="L17" s="74">
        <f>LOOKUP(2,1/(('0622 4度C'!$A:$A="新豐9線")*('0622 4度C'!$T:$T&lt;&gt;"")),'0622 4度C'!$T:$T)</f>
        <v>0.7041666666666665</v>
      </c>
      <c r="M17" s="75">
        <f>LOOKUP(2,1/(('0622 4度C'!$A:$A="新豐4線")*('0622 4度C'!$T:$T&lt;&gt;"")),'0622 4度C'!$T:$T)</f>
        <v>0.64583333333333337</v>
      </c>
    </row>
    <row r="18" spans="2:13" ht="17.25" customHeight="1">
      <c r="B18" s="551" t="s">
        <v>1942</v>
      </c>
      <c r="C18" s="79" t="s">
        <v>117</v>
      </c>
      <c r="D18" s="80">
        <f>SUMIFS('0622 4度C'!$Y:$Y,'0622 4度C'!$A:$A,"新豐6線",'0622 4度C'!$B:$B,"平均")</f>
        <v>0</v>
      </c>
      <c r="E18" s="81">
        <f>SUMIFS('0622 4度C'!$Y:$Y,'0622 4度C'!$A:$A,"新豐2線",'0622 4度C'!$B:$B,"平均")</f>
        <v>0</v>
      </c>
      <c r="F18" s="81">
        <f>SUMIFS('0622 4度C'!$Y:$Y,'0622 4度C'!$A:$A,"新豐5線",'0622 4度C'!$B:$B,"平均")</f>
        <v>0</v>
      </c>
      <c r="G18" s="81">
        <f>SUMIFS('0622 4度C'!$Y:$Y,'0622 4度C'!$A:$A,"新豐7線",'0622 4度C'!$B:$B,"平均")</f>
        <v>0</v>
      </c>
      <c r="H18" s="81">
        <f>SUMIFS('0622 4度C'!$Y:$Y,'0622 4度C'!$A:$A,"新豐3線",'0622 4度C'!$B:$B,"平均")</f>
        <v>0</v>
      </c>
      <c r="I18" s="81">
        <f>SUMIFS('0622 4度C'!$Y:$Y,'0622 4度C'!$A:$A,"新豐1線",'0622 4度C'!$B:$B,"平均")</f>
        <v>0</v>
      </c>
      <c r="J18" s="82">
        <f>SUMIFS('0622 4度C'!$Y:$Y,'0622 4度C'!$A:$A,"新豐10線",'0622 4度C'!$B:$B,"平均")</f>
        <v>0</v>
      </c>
      <c r="K18" s="83">
        <f>SUMIFS('0622 4度C'!$Y:$Y,'0622 4度C'!$A:$A,"新豐8線",'0622 4度C'!$B:$B,"平均")</f>
        <v>0</v>
      </c>
      <c r="L18" s="81">
        <f>SUMIFS('0622 4度C'!$Y:$Y,'0622 4度C'!$A:$A,"新豐9線",'0622 4度C'!$B:$B,"平均")</f>
        <v>0</v>
      </c>
      <c r="M18" s="82">
        <f>SUMIFS('0622 4度C'!$Y:$Y,'0622 4度C'!$A:$A,"新豐4線",'0622 4度C'!$B:$B,"平均")</f>
        <v>0</v>
      </c>
    </row>
    <row r="19" spans="2:13" ht="17.25" customHeight="1">
      <c r="B19" s="552"/>
      <c r="C19" s="79" t="s">
        <v>118</v>
      </c>
      <c r="D19" s="80">
        <f>SUMIFS('0622 4度C'!$Z:$Z,'0622 4度C'!$A:$A,"新豐6線",'0622 4度C'!$B:$B,"平均")</f>
        <v>0</v>
      </c>
      <c r="E19" s="81">
        <f>SUMIFS('0622 4度C'!$Z:$Z,'0622 4度C'!$A:$A,"新豐2線",'0622 4度C'!$B:$B,"平均")</f>
        <v>0</v>
      </c>
      <c r="F19" s="81">
        <f>SUMIFS('0622 4度C'!$Z:$Z,'0622 4度C'!$A:$A,"新豐5線",'0622 4度C'!$B:$B,"平均")</f>
        <v>0</v>
      </c>
      <c r="G19" s="81">
        <f>SUMIFS('0622 4度C'!$Z:$Z,'0622 4度C'!$A:$A,"新豐7線",'0622 4度C'!$B:$B,"平均")</f>
        <v>0</v>
      </c>
      <c r="H19" s="81">
        <f>SUMIFS('0622 4度C'!$Z:$Z,'0622 4度C'!$A:$A,"新豐3線",'0622 4度C'!$B:$B,"平均")</f>
        <v>0</v>
      </c>
      <c r="I19" s="81">
        <f>SUMIFS('0622 4度C'!$Z:$Z,'0622 4度C'!$A:$A,"新豐1線",'0622 4度C'!$B:$B,"平均")</f>
        <v>0</v>
      </c>
      <c r="J19" s="82">
        <f>SUMIFS('0622 4度C'!$Z:$Z,'0622 4度C'!$A:$A,"新豐10線",'0622 4度C'!$B:$B,"平均")</f>
        <v>0</v>
      </c>
      <c r="K19" s="83">
        <f>SUMIFS('0622 4度C'!$Z:$Z,'0622 4度C'!$A:$A,"新豐8線",'0622 4度C'!$B:$B,"平均")</f>
        <v>0</v>
      </c>
      <c r="L19" s="81">
        <f>SUMIFS('0622 4度C'!$Z:$Z,'0622 4度C'!$A:$A,"新豐9線",'0622 4度C'!$B:$B,"平均")</f>
        <v>0</v>
      </c>
      <c r="M19" s="82">
        <f>SUMIFS('0622 4度C'!$Z:$Z,'0622 4度C'!$A:$A,"新豐4線",'0622 4度C'!$B:$B,"平均")</f>
        <v>0</v>
      </c>
    </row>
    <row r="20" spans="2:13" ht="17.25" customHeight="1">
      <c r="B20" s="551" t="s">
        <v>1943</v>
      </c>
      <c r="C20" s="79" t="s">
        <v>117</v>
      </c>
      <c r="D20" s="80">
        <f>SUMIFS('0622 4度C'!$AC:$AC,'0622 4度C'!$A:$A,"新豐6線",'0622 4度C'!$B:$B,"平均")</f>
        <v>3</v>
      </c>
      <c r="E20" s="81">
        <f>SUMIFS('0622 4度C'!$AC:$AC,'0622 4度C'!$A:$A,"新豐2線",'0622 4度C'!$B:$B,"平均")</f>
        <v>5</v>
      </c>
      <c r="F20" s="81">
        <f>SUMIFS('0622 4度C'!$AC:$AC,'0622 4度C'!$A:$A,"新豐5線",'0622 4度C'!$B:$B,"平均")</f>
        <v>7</v>
      </c>
      <c r="G20" s="81">
        <f>SUMIFS('0622 4度C'!$AC:$AC,'0622 4度C'!$A:$A,"新豐7線",'0622 4度C'!$B:$B,"平均")</f>
        <v>7</v>
      </c>
      <c r="H20" s="81">
        <f>SUMIFS('0622 4度C'!$AC:$AC,'0622 4度C'!$A:$A,"新豐3線",'0622 4度C'!$B:$B,"平均")</f>
        <v>4</v>
      </c>
      <c r="I20" s="81">
        <f>SUMIFS('0622 4度C'!$AC:$AC,'0622 4度C'!$A:$A,"新豐1線",'0622 4度C'!$B:$B,"平均")</f>
        <v>7</v>
      </c>
      <c r="J20" s="82">
        <f>SUMIFS('0622 4度C'!$AC:$AC,'0622 4度C'!$A:$A,"新豐10線",'0622 4度C'!$B:$B,"平均")</f>
        <v>4</v>
      </c>
      <c r="K20" s="83">
        <f>SUMIFS('0622 4度C'!$AC:$AC,'0622 4度C'!$A:$A,"新豐8線",'0622 4度C'!$B:$B,"平均")</f>
        <v>8</v>
      </c>
      <c r="L20" s="81">
        <f>SUMIFS('0622 4度C'!$AC:$AC,'0622 4度C'!$A:$A,"新豐9線",'0622 4度C'!$B:$B,"平均")</f>
        <v>8</v>
      </c>
      <c r="M20" s="82">
        <f>SUMIFS('0622 4度C'!$AC:$AC,'0622 4度C'!$A:$A,"新豐4線",'0622 4度C'!$B:$B,"平均")</f>
        <v>6</v>
      </c>
    </row>
    <row r="21" spans="2:13" ht="17.25" customHeight="1">
      <c r="B21" s="552"/>
      <c r="C21" s="79" t="s">
        <v>1944</v>
      </c>
      <c r="D21" s="80">
        <f>SUMIFS('0622 4度C'!$AD:$AD,'0622 4度C'!$A:$A,"新豐6線",'0622 4度C'!$B:$B,"平均")</f>
        <v>0</v>
      </c>
      <c r="E21" s="81">
        <f>SUMIFS('0622 4度C'!$AD:$AD,'0622 4度C'!$A:$A,"新豐2線",'0622 4度C'!$B:$B,"平均")</f>
        <v>0</v>
      </c>
      <c r="F21" s="81">
        <f>SUMIFS('0622 4度C'!$AD:$AD,'0622 4度C'!$A:$A,"新豐5線",'0622 4度C'!$B:$B,"平均")</f>
        <v>0</v>
      </c>
      <c r="G21" s="81">
        <f>SUMIFS('0622 4度C'!$AD:$AD,'0622 4度C'!$A:$A,"新豐7線",'0622 4度C'!$B:$B,"平均")</f>
        <v>0</v>
      </c>
      <c r="H21" s="81">
        <f>SUMIFS('0622 4度C'!$AD:$AD,'0622 4度C'!$A:$A,"新豐3線",'0622 4度C'!$B:$B,"平均")</f>
        <v>0</v>
      </c>
      <c r="I21" s="81">
        <f>SUMIFS('0622 4度C'!$AD:$AD,'0622 4度C'!$A:$A,"新豐1線",'0622 4度C'!$B:$B,"平均")</f>
        <v>0</v>
      </c>
      <c r="J21" s="82">
        <f>SUMIFS('0622 4度C'!$AD:$AD,'0622 4度C'!$A:$A,"新豐10線",'0622 4度C'!$B:$B,"平均")</f>
        <v>0</v>
      </c>
      <c r="K21" s="83">
        <f>SUMIFS('0622 4度C'!$AD:$AD,'0622 4度C'!$A:$A,"新豐8線",'0622 4度C'!$B:$B,"平均")</f>
        <v>0</v>
      </c>
      <c r="L21" s="81">
        <f>SUMIFS('0622 4度C'!$AD:$AD,'0622 4度C'!$A:$A,"新豐9線",'0622 4度C'!$B:$B,"平均")</f>
        <v>0</v>
      </c>
      <c r="M21" s="82">
        <f>SUMIFS('0622 4度C'!$AD:$AD,'0622 4度C'!$A:$A,"新豐4線",'0622 4度C'!$B:$B,"平均")</f>
        <v>0</v>
      </c>
    </row>
    <row r="22" spans="2:13" ht="17.25" customHeight="1">
      <c r="B22" s="553" t="s">
        <v>689</v>
      </c>
      <c r="C22" s="554"/>
      <c r="D22" s="84">
        <f>SUMIFS('0622 4度C'!$I:$I,'0622 4度C'!$A:$A,"新豐6線",'0622 4度C'!$B:$B,"平均")</f>
        <v>15.333333333333334</v>
      </c>
      <c r="E22" s="85">
        <f>SUMIFS('0622 4度C'!$I:$I,'0622 4度C'!$A:$A,"新豐2線",'0622 4度C'!$B:$B,"平均")</f>
        <v>17.600000000000001</v>
      </c>
      <c r="F22" s="85">
        <f>SUMIFS('0622 4度C'!$I:$I,'0622 4度C'!$A:$A,"新豐5線",'0622 4度C'!$B:$B,"平均")</f>
        <v>18.714285714285715</v>
      </c>
      <c r="G22" s="85">
        <f>SUMIFS('0622 4度C'!$I:$I,'0622 4度C'!$A:$A,"新豐7線",'0622 4度C'!$B:$B,"平均")</f>
        <v>16.714285714285715</v>
      </c>
      <c r="H22" s="85">
        <f>SUMIFS('0622 4度C'!$I:$I,'0622 4度C'!$A:$A,"新豐3線",'0622 4度C'!$B:$B,"平均")</f>
        <v>10.75</v>
      </c>
      <c r="I22" s="85">
        <f>SUMIFS('0622 4度C'!$I:$I,'0622 4度C'!$A:$A,"新豐1線",'0622 4度C'!$B:$B,"平均")</f>
        <v>16.714285714285715</v>
      </c>
      <c r="J22" s="86">
        <f>SUMIFS('0622 4度C'!$I:$I,'0622 4度C'!$A:$A,"新豐10線",'0622 4度C'!$B:$B,"平均")</f>
        <v>9.25</v>
      </c>
      <c r="K22" s="84">
        <f>SUMIFS('0622 4度C'!$I:$I,'0622 4度C'!$A:$A,"新豐8線",'0622 4度C'!$B:$B,"平均")</f>
        <v>17.5</v>
      </c>
      <c r="L22" s="85">
        <f>SUMIFS('0622 4度C'!$I:$I,'0622 4度C'!$A:$A,"新豐9線",'0622 4度C'!$B:$B,"平均")</f>
        <v>17.625</v>
      </c>
      <c r="M22" s="86">
        <f>SUMIFS('0622 4度C'!$I:$I,'0622 4度C'!$A:$A,"新豐4線",'0622 4度C'!$B:$B,"平均")</f>
        <v>15.333333333333334</v>
      </c>
    </row>
    <row r="23" spans="2:13" ht="17.25" customHeight="1">
      <c r="B23" s="553" t="s">
        <v>314</v>
      </c>
      <c r="C23" s="554"/>
      <c r="D23" s="87" t="s">
        <v>71</v>
      </c>
      <c r="E23" s="88" t="s">
        <v>72</v>
      </c>
      <c r="F23" s="88" t="s">
        <v>691</v>
      </c>
      <c r="G23" s="88" t="s">
        <v>691</v>
      </c>
      <c r="H23" s="88" t="s">
        <v>73</v>
      </c>
      <c r="I23" s="88" t="s">
        <v>71</v>
      </c>
      <c r="J23" s="89" t="s">
        <v>73</v>
      </c>
      <c r="K23" s="87" t="s">
        <v>771</v>
      </c>
      <c r="L23" s="88" t="s">
        <v>771</v>
      </c>
      <c r="M23" s="89" t="s">
        <v>771</v>
      </c>
    </row>
    <row r="24" spans="2:13" ht="17.25" customHeight="1">
      <c r="B24" s="553" t="s">
        <v>317</v>
      </c>
      <c r="C24" s="554"/>
      <c r="D24" s="87"/>
      <c r="E24" s="88"/>
      <c r="F24" s="88" t="s">
        <v>1945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1946</v>
      </c>
      <c r="C25" s="556"/>
      <c r="D25" s="90"/>
      <c r="E25" s="91" t="s">
        <v>1947</v>
      </c>
      <c r="F25" s="549" t="s">
        <v>1948</v>
      </c>
      <c r="G25" s="550"/>
      <c r="H25" s="91" t="s">
        <v>130</v>
      </c>
      <c r="I25" s="91" t="s">
        <v>1949</v>
      </c>
      <c r="J25" s="92" t="s">
        <v>1950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2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B1" sqref="B1:J2"/>
      <selection pane="bottomLeft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1951</v>
      </c>
      <c r="B1" s="1"/>
      <c r="C1" s="2" t="s">
        <v>1952</v>
      </c>
      <c r="D1" s="3">
        <f>SUM(F5:F73)</f>
        <v>187400</v>
      </c>
      <c r="E1" s="415" t="s">
        <v>1953</v>
      </c>
      <c r="F1" s="1">
        <f>SUM(G5:G73)</f>
        <v>6498359.7999999989</v>
      </c>
      <c r="G1" s="1" t="s">
        <v>1954</v>
      </c>
      <c r="H1" s="4">
        <f>L8+L14+L53+L61+L22+L66+L39+L48+L30+L73</f>
        <v>155.53452380952382</v>
      </c>
      <c r="I1" s="663" t="s">
        <v>1955</v>
      </c>
      <c r="J1" s="663"/>
      <c r="K1" s="663"/>
      <c r="L1" s="663" t="s">
        <v>1956</v>
      </c>
      <c r="M1" s="663"/>
      <c r="N1" s="663"/>
      <c r="O1" s="663" t="s">
        <v>1957</v>
      </c>
      <c r="P1" s="663"/>
      <c r="Q1" s="663"/>
      <c r="R1" s="663"/>
      <c r="S1" s="663" t="s">
        <v>1958</v>
      </c>
      <c r="T1" s="663"/>
      <c r="U1" s="663"/>
      <c r="V1" s="663"/>
      <c r="W1" s="663"/>
      <c r="X1" s="663"/>
      <c r="Y1" s="5" t="s">
        <v>1959</v>
      </c>
      <c r="Z1" s="6" t="s">
        <v>1960</v>
      </c>
      <c r="AA1" s="664" t="s">
        <v>1961</v>
      </c>
      <c r="AB1" s="664"/>
      <c r="AC1" s="188" t="s">
        <v>1959</v>
      </c>
      <c r="AD1" s="6" t="s">
        <v>1962</v>
      </c>
      <c r="AE1" s="663" t="s">
        <v>1963</v>
      </c>
      <c r="AF1" s="665"/>
      <c r="AG1" s="665"/>
    </row>
    <row r="2" spans="1:33" ht="26.25" customHeight="1">
      <c r="A2" s="27">
        <v>46195</v>
      </c>
      <c r="B2" s="28" t="s">
        <v>75</v>
      </c>
      <c r="C2" s="2" t="s">
        <v>1964</v>
      </c>
      <c r="D2" s="8">
        <f>AVERAGE(N8,N14,N53,N61,N22,N66,N30,N39,N48,N73)</f>
        <v>147.11760892772634</v>
      </c>
      <c r="E2" s="9" t="s">
        <v>0</v>
      </c>
      <c r="F2" s="10">
        <f>F1/D1</f>
        <v>34.676413020277472</v>
      </c>
      <c r="G2" s="1" t="s">
        <v>1965</v>
      </c>
      <c r="H2" s="428">
        <f>COUNT(H5:H73)</f>
        <v>9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SUM(Y8+Y14+Y22+Y30+Y39+Y48+Y53+Y61+Y66+Y73)</f>
        <v>0</v>
      </c>
      <c r="Z2" s="11">
        <f>SUM(Z8+Z14+Z22+Z30+Z39+Z48+Z53+Z61+Z66+Z73)</f>
        <v>0</v>
      </c>
      <c r="AA2" s="664"/>
      <c r="AB2" s="664"/>
      <c r="AC2" s="11">
        <v>59</v>
      </c>
      <c r="AD2" s="11">
        <f>SUM(AD8+AD14+AD22+AD30+AD39+AD48+AD53+AD61+AD66+AD73)</f>
        <v>0</v>
      </c>
      <c r="AE2" s="665"/>
      <c r="AF2" s="665"/>
      <c r="AG2" s="665"/>
    </row>
    <row r="3" spans="1:33" ht="40.5" customHeight="1">
      <c r="A3" s="617" t="s">
        <v>1966</v>
      </c>
      <c r="B3" s="617" t="s">
        <v>1967</v>
      </c>
      <c r="C3" s="617" t="s">
        <v>1968</v>
      </c>
      <c r="D3" s="617"/>
      <c r="E3" s="661" t="s">
        <v>1969</v>
      </c>
      <c r="F3" s="617" t="s">
        <v>1970</v>
      </c>
      <c r="G3" s="661" t="s">
        <v>1971</v>
      </c>
      <c r="H3" s="654" t="s">
        <v>1972</v>
      </c>
      <c r="I3" s="652" t="s">
        <v>1973</v>
      </c>
      <c r="J3" s="649" t="s">
        <v>1974</v>
      </c>
      <c r="K3" s="659" t="s">
        <v>1964</v>
      </c>
      <c r="L3" s="652" t="s">
        <v>1973</v>
      </c>
      <c r="M3" s="649" t="s">
        <v>1974</v>
      </c>
      <c r="N3" s="659" t="s">
        <v>1964</v>
      </c>
      <c r="O3" s="652" t="s">
        <v>1973</v>
      </c>
      <c r="P3" s="659" t="s">
        <v>1964</v>
      </c>
      <c r="Q3" s="650" t="s">
        <v>1975</v>
      </c>
      <c r="R3" s="630" t="s">
        <v>1976</v>
      </c>
      <c r="S3" s="660" t="s">
        <v>1</v>
      </c>
      <c r="T3" s="660"/>
      <c r="U3" s="654" t="s">
        <v>2</v>
      </c>
      <c r="V3" s="654" t="s">
        <v>1977</v>
      </c>
      <c r="W3" s="617" t="s">
        <v>1978</v>
      </c>
      <c r="X3" s="617"/>
      <c r="Y3" s="655" t="s">
        <v>1979</v>
      </c>
      <c r="Z3" s="614"/>
      <c r="AA3" s="656" t="s">
        <v>1980</v>
      </c>
      <c r="AB3" s="657"/>
      <c r="AC3" s="655" t="s">
        <v>1981</v>
      </c>
      <c r="AD3" s="614"/>
      <c r="AE3" s="649" t="s">
        <v>1974</v>
      </c>
      <c r="AF3" s="650" t="s">
        <v>1975</v>
      </c>
      <c r="AG3" s="630" t="s">
        <v>1976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427" t="s">
        <v>3</v>
      </c>
      <c r="T4" s="427" t="s">
        <v>4</v>
      </c>
      <c r="U4" s="654"/>
      <c r="V4" s="654"/>
      <c r="W4" s="415" t="s">
        <v>1982</v>
      </c>
      <c r="X4" s="415" t="s">
        <v>1983</v>
      </c>
      <c r="Y4" s="418" t="s">
        <v>1984</v>
      </c>
      <c r="Z4" s="418" t="s">
        <v>1985</v>
      </c>
      <c r="AA4" s="658"/>
      <c r="AB4" s="657"/>
      <c r="AC4" s="418" t="s">
        <v>1986</v>
      </c>
      <c r="AD4" s="418" t="s">
        <v>1987</v>
      </c>
      <c r="AE4" s="649"/>
      <c r="AF4" s="650"/>
      <c r="AG4" s="630"/>
    </row>
    <row r="5" spans="1:33">
      <c r="A5" s="651" t="s">
        <v>1988</v>
      </c>
      <c r="B5" s="29" t="s">
        <v>15</v>
      </c>
      <c r="C5" s="653" t="s">
        <v>17</v>
      </c>
      <c r="D5" s="653"/>
      <c r="E5" s="29">
        <v>50.67</v>
      </c>
      <c r="F5" s="427">
        <v>1450</v>
      </c>
      <c r="G5" s="415">
        <f t="shared" ref="G5:G7" si="0">E5*F5</f>
        <v>73471.5</v>
      </c>
      <c r="H5" s="33" t="s">
        <v>57</v>
      </c>
      <c r="I5" s="425">
        <v>15</v>
      </c>
      <c r="J5" s="31">
        <v>2000</v>
      </c>
      <c r="K5" s="12">
        <f t="shared" ref="K5:K68" si="1">J5/I5</f>
        <v>133.33333333333334</v>
      </c>
      <c r="L5" s="425">
        <v>15</v>
      </c>
      <c r="M5" s="13">
        <f t="shared" ref="M5:M7" si="2">F5/V5*60</f>
        <v>1933.3333333333333</v>
      </c>
      <c r="N5" s="12">
        <f t="shared" ref="N5:N68" si="3">M5/L5</f>
        <v>128.88888888888889</v>
      </c>
      <c r="O5" s="14">
        <f t="shared" ref="O5:O68" si="4">L5-I5</f>
        <v>0</v>
      </c>
      <c r="P5" s="15">
        <f t="shared" ref="P5:P68" si="5">N5-K5</f>
        <v>-4.4444444444444571</v>
      </c>
      <c r="Q5" s="414">
        <f t="shared" ref="Q5:Q68" si="6">N5/K5</f>
        <v>0.96666666666666656</v>
      </c>
      <c r="R5" s="615">
        <f>Q8</f>
        <v>0.96034159159159116</v>
      </c>
      <c r="S5" s="34">
        <v>0.70833333333333337</v>
      </c>
      <c r="T5" s="34">
        <v>0.73958333333333337</v>
      </c>
      <c r="U5" s="415"/>
      <c r="V5" s="426">
        <f t="shared" ref="V5:V7" si="7">(T5-S5)*24*60</f>
        <v>45</v>
      </c>
      <c r="W5" s="16"/>
      <c r="X5" s="17"/>
      <c r="Y5" s="17"/>
      <c r="Z5" s="17"/>
      <c r="AA5" s="617"/>
      <c r="AB5" s="617"/>
      <c r="AC5" s="18">
        <v>3</v>
      </c>
      <c r="AD5" s="18"/>
      <c r="AE5" s="14">
        <f t="shared" ref="AE5:AE60" si="8">M5-J5</f>
        <v>-66.666666666666742</v>
      </c>
      <c r="AF5" s="414">
        <f t="shared" ref="AF5:AF68" si="9">M5/J5</f>
        <v>0.96666666666666667</v>
      </c>
      <c r="AG5" s="615">
        <f>AF8</f>
        <v>0.96034159159159116</v>
      </c>
    </row>
    <row r="6" spans="1:33">
      <c r="A6" s="652" t="s">
        <v>1988</v>
      </c>
      <c r="B6" s="29" t="s">
        <v>15</v>
      </c>
      <c r="C6" s="653" t="s">
        <v>26</v>
      </c>
      <c r="D6" s="653"/>
      <c r="E6" s="29">
        <v>50.92</v>
      </c>
      <c r="F6" s="427">
        <v>2307</v>
      </c>
      <c r="G6" s="415">
        <f t="shared" si="0"/>
        <v>117472.44</v>
      </c>
      <c r="H6" s="33" t="s">
        <v>57</v>
      </c>
      <c r="I6" s="425">
        <v>15</v>
      </c>
      <c r="J6" s="31">
        <v>2000</v>
      </c>
      <c r="K6" s="12">
        <f t="shared" si="1"/>
        <v>133.33333333333334</v>
      </c>
      <c r="L6" s="425">
        <v>15</v>
      </c>
      <c r="M6" s="13">
        <f t="shared" si="2"/>
        <v>1922.4999999999986</v>
      </c>
      <c r="N6" s="12">
        <f t="shared" si="3"/>
        <v>128.16666666666657</v>
      </c>
      <c r="O6" s="14">
        <f t="shared" si="4"/>
        <v>0</v>
      </c>
      <c r="P6" s="15">
        <f t="shared" si="5"/>
        <v>-5.1666666666667709</v>
      </c>
      <c r="Q6" s="414">
        <f t="shared" si="6"/>
        <v>0.96124999999999927</v>
      </c>
      <c r="R6" s="615"/>
      <c r="S6" s="34">
        <v>0.74513888888888891</v>
      </c>
      <c r="T6" s="34">
        <v>0.79513888888888895</v>
      </c>
      <c r="U6" s="415">
        <f t="shared" ref="U6:U7" si="10">IF(S6=TIME(17,0,0),"",(S6-T5)*24*60)</f>
        <v>7.9999999999999716</v>
      </c>
      <c r="V6" s="426">
        <f t="shared" si="7"/>
        <v>72.000000000000057</v>
      </c>
      <c r="W6" s="16"/>
      <c r="X6" s="16"/>
      <c r="Y6" s="16"/>
      <c r="Z6" s="16"/>
      <c r="AA6" s="617"/>
      <c r="AB6" s="617"/>
      <c r="AC6" s="18"/>
      <c r="AD6" s="18"/>
      <c r="AE6" s="14">
        <f t="shared" si="8"/>
        <v>-77.500000000001364</v>
      </c>
      <c r="AF6" s="414">
        <f t="shared" si="9"/>
        <v>0.96124999999999927</v>
      </c>
      <c r="AG6" s="615"/>
    </row>
    <row r="7" spans="1:33">
      <c r="A7" s="652" t="s">
        <v>1988</v>
      </c>
      <c r="B7" s="29" t="s">
        <v>15</v>
      </c>
      <c r="C7" s="644" t="s">
        <v>31</v>
      </c>
      <c r="D7" s="645"/>
      <c r="E7" s="29">
        <v>50.98</v>
      </c>
      <c r="F7" s="427">
        <v>2351</v>
      </c>
      <c r="G7" s="415">
        <f t="shared" si="0"/>
        <v>119853.98</v>
      </c>
      <c r="H7" s="33" t="s">
        <v>57</v>
      </c>
      <c r="I7" s="425">
        <v>16</v>
      </c>
      <c r="J7" s="31">
        <v>2000</v>
      </c>
      <c r="K7" s="12">
        <f t="shared" si="1"/>
        <v>125</v>
      </c>
      <c r="L7" s="425">
        <v>16</v>
      </c>
      <c r="M7" s="13">
        <f t="shared" si="2"/>
        <v>1906.2162162162147</v>
      </c>
      <c r="N7" s="12">
        <f t="shared" si="3"/>
        <v>119.13851351351342</v>
      </c>
      <c r="O7" s="14">
        <f t="shared" si="4"/>
        <v>0</v>
      </c>
      <c r="P7" s="15">
        <f t="shared" si="5"/>
        <v>-5.8614864864865837</v>
      </c>
      <c r="Q7" s="414">
        <f t="shared" si="6"/>
        <v>0.95310810810810731</v>
      </c>
      <c r="R7" s="615"/>
      <c r="S7" s="34">
        <v>0.8</v>
      </c>
      <c r="T7" s="34">
        <v>0.85138888888888897</v>
      </c>
      <c r="U7" s="415">
        <f t="shared" si="10"/>
        <v>6.9999999999999751</v>
      </c>
      <c r="V7" s="426">
        <f t="shared" si="7"/>
        <v>74.000000000000057</v>
      </c>
      <c r="W7" s="16"/>
      <c r="X7" s="16"/>
      <c r="Y7" s="19"/>
      <c r="Z7" s="19"/>
      <c r="AA7" s="624"/>
      <c r="AB7" s="625"/>
      <c r="AC7" s="20"/>
      <c r="AD7" s="20"/>
      <c r="AE7" s="14">
        <f t="shared" si="8"/>
        <v>-93.783783783785339</v>
      </c>
      <c r="AF7" s="414">
        <f t="shared" si="9"/>
        <v>0.95310810810810731</v>
      </c>
      <c r="AG7" s="615"/>
    </row>
    <row r="8" spans="1:33">
      <c r="A8" s="652" t="s">
        <v>1988</v>
      </c>
      <c r="B8" s="29" t="s">
        <v>1989</v>
      </c>
      <c r="C8" s="618"/>
      <c r="D8" s="618"/>
      <c r="E8" s="417"/>
      <c r="F8" s="30"/>
      <c r="G8" s="12"/>
      <c r="H8" s="427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1920.6831831831823</v>
      </c>
      <c r="N8" s="12">
        <f t="shared" si="3"/>
        <v>125.26194672933798</v>
      </c>
      <c r="O8" s="14">
        <f t="shared" si="4"/>
        <v>0</v>
      </c>
      <c r="P8" s="15">
        <f t="shared" si="5"/>
        <v>-5.1728358793576774</v>
      </c>
      <c r="Q8" s="414">
        <f t="shared" si="6"/>
        <v>0.96034159159159116</v>
      </c>
      <c r="R8" s="615"/>
      <c r="S8" s="34"/>
      <c r="T8" s="34"/>
      <c r="U8" s="415"/>
      <c r="V8" s="426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-79.316816816817663</v>
      </c>
      <c r="AF8" s="414">
        <f t="shared" si="9"/>
        <v>0.96034159159159116</v>
      </c>
      <c r="AG8" s="615"/>
    </row>
    <row r="9" spans="1:33" ht="15.75" customHeight="1">
      <c r="A9" s="648" t="s">
        <v>7</v>
      </c>
      <c r="B9" s="29" t="s">
        <v>19</v>
      </c>
      <c r="C9" s="644" t="s">
        <v>20</v>
      </c>
      <c r="D9" s="645"/>
      <c r="E9" s="29">
        <v>39.619999999999997</v>
      </c>
      <c r="F9" s="427">
        <v>3500</v>
      </c>
      <c r="G9" s="415">
        <f t="shared" ref="G9:G13" si="11">E9*F9</f>
        <v>138670</v>
      </c>
      <c r="H9" s="33">
        <v>2</v>
      </c>
      <c r="I9" s="425">
        <v>19</v>
      </c>
      <c r="J9" s="31">
        <v>1500</v>
      </c>
      <c r="K9" s="12">
        <f t="shared" si="1"/>
        <v>78.94736842105263</v>
      </c>
      <c r="L9" s="425">
        <v>19</v>
      </c>
      <c r="M9" s="13">
        <f t="shared" ref="M9:M13" si="12">F9/V9*60</f>
        <v>1438.3561643835617</v>
      </c>
      <c r="N9" s="12">
        <f t="shared" si="3"/>
        <v>75.702956020187457</v>
      </c>
      <c r="O9" s="14">
        <f t="shared" si="4"/>
        <v>0</v>
      </c>
      <c r="P9" s="15">
        <f t="shared" si="5"/>
        <v>-3.2444124008651727</v>
      </c>
      <c r="Q9" s="414">
        <f t="shared" si="6"/>
        <v>0.95890410958904115</v>
      </c>
      <c r="R9" s="615">
        <f>Q14</f>
        <v>0.95694687739322404</v>
      </c>
      <c r="S9" s="34">
        <v>8.3333333333333329E-2</v>
      </c>
      <c r="T9" s="34">
        <v>0.1847222222222222</v>
      </c>
      <c r="U9" s="415"/>
      <c r="V9" s="426">
        <f t="shared" ref="V9:V13" si="13">(T9-S9)*24*60</f>
        <v>146</v>
      </c>
      <c r="W9" s="16">
        <f>T9</f>
        <v>0.1847222222222222</v>
      </c>
      <c r="X9" s="16">
        <f>S10</f>
        <v>0.20624999999999999</v>
      </c>
      <c r="Y9" s="16"/>
      <c r="Z9" s="16"/>
      <c r="AA9" s="617"/>
      <c r="AB9" s="617"/>
      <c r="AC9" s="18">
        <v>5</v>
      </c>
      <c r="AD9" s="18"/>
      <c r="AE9" s="14">
        <f t="shared" si="8"/>
        <v>-61.643835616438309</v>
      </c>
      <c r="AF9" s="414">
        <f t="shared" si="9"/>
        <v>0.95890410958904115</v>
      </c>
      <c r="AG9" s="615">
        <f>AF14</f>
        <v>0.95694687739322415</v>
      </c>
    </row>
    <row r="10" spans="1:33" ht="15.75" customHeight="1">
      <c r="A10" s="648" t="s">
        <v>1990</v>
      </c>
      <c r="B10" s="29" t="s">
        <v>19</v>
      </c>
      <c r="C10" s="644" t="s">
        <v>83</v>
      </c>
      <c r="D10" s="645"/>
      <c r="E10" s="29">
        <v>39.46</v>
      </c>
      <c r="F10" s="427">
        <v>4664</v>
      </c>
      <c r="G10" s="415">
        <f t="shared" si="11"/>
        <v>184041.44</v>
      </c>
      <c r="H10" s="33" t="s">
        <v>57</v>
      </c>
      <c r="I10" s="425">
        <v>16</v>
      </c>
      <c r="J10" s="31">
        <v>1500</v>
      </c>
      <c r="K10" s="12">
        <f t="shared" si="1"/>
        <v>93.75</v>
      </c>
      <c r="L10" s="425">
        <v>16</v>
      </c>
      <c r="M10" s="13">
        <f t="shared" si="12"/>
        <v>1435.0769230769229</v>
      </c>
      <c r="N10" s="12">
        <f t="shared" si="3"/>
        <v>89.692307692307679</v>
      </c>
      <c r="O10" s="14">
        <f t="shared" si="4"/>
        <v>0</v>
      </c>
      <c r="P10" s="15">
        <f t="shared" si="5"/>
        <v>-4.0576923076923208</v>
      </c>
      <c r="Q10" s="414">
        <f t="shared" si="6"/>
        <v>0.95671794871794857</v>
      </c>
      <c r="R10" s="615"/>
      <c r="S10" s="34">
        <v>0.20624999999999999</v>
      </c>
      <c r="T10" s="34">
        <v>0.34166666666666667</v>
      </c>
      <c r="U10" s="415">
        <f t="shared" ref="U10:U13" si="14">IF(S10=TIME(17,0,0),"",(S10-T9)*24*60)</f>
        <v>31.000000000000011</v>
      </c>
      <c r="V10" s="426">
        <f t="shared" si="13"/>
        <v>195.00000000000003</v>
      </c>
      <c r="W10" s="16"/>
      <c r="X10" s="16"/>
      <c r="Y10" s="16"/>
      <c r="Z10" s="16"/>
      <c r="AA10" s="617"/>
      <c r="AB10" s="617"/>
      <c r="AC10" s="18"/>
      <c r="AD10" s="18"/>
      <c r="AE10" s="14">
        <f t="shared" si="8"/>
        <v>-64.923076923077133</v>
      </c>
      <c r="AF10" s="414">
        <f t="shared" si="9"/>
        <v>0.95671794871794857</v>
      </c>
      <c r="AG10" s="615"/>
    </row>
    <row r="11" spans="1:33" ht="15.75" customHeight="1">
      <c r="A11" s="648" t="s">
        <v>1990</v>
      </c>
      <c r="B11" s="29" t="s">
        <v>19</v>
      </c>
      <c r="C11" s="644" t="s">
        <v>21</v>
      </c>
      <c r="D11" s="645"/>
      <c r="E11" s="29">
        <v>39.799999999999997</v>
      </c>
      <c r="F11" s="427">
        <v>5200</v>
      </c>
      <c r="G11" s="415">
        <f t="shared" si="11"/>
        <v>206959.99999999997</v>
      </c>
      <c r="H11" s="33">
        <v>2</v>
      </c>
      <c r="I11" s="425">
        <v>17</v>
      </c>
      <c r="J11" s="31">
        <v>1500</v>
      </c>
      <c r="K11" s="12">
        <f t="shared" si="1"/>
        <v>88.235294117647058</v>
      </c>
      <c r="L11" s="425">
        <v>17</v>
      </c>
      <c r="M11" s="13">
        <f t="shared" si="12"/>
        <v>1431.1926605504586</v>
      </c>
      <c r="N11" s="12">
        <f t="shared" si="3"/>
        <v>84.187803561791682</v>
      </c>
      <c r="O11" s="14">
        <f t="shared" si="4"/>
        <v>0</v>
      </c>
      <c r="P11" s="15">
        <f t="shared" si="5"/>
        <v>-4.0474905558553758</v>
      </c>
      <c r="Q11" s="414">
        <f t="shared" si="6"/>
        <v>0.95412844036697242</v>
      </c>
      <c r="R11" s="615"/>
      <c r="S11" s="34">
        <v>0.34583333333333333</v>
      </c>
      <c r="T11" s="34">
        <v>0.49722222222222223</v>
      </c>
      <c r="U11" s="415">
        <f t="shared" si="14"/>
        <v>5.9999999999999787</v>
      </c>
      <c r="V11" s="426">
        <f t="shared" si="13"/>
        <v>218.00000000000003</v>
      </c>
      <c r="W11" s="16">
        <f>T11</f>
        <v>0.49722222222222223</v>
      </c>
      <c r="X11" s="16">
        <f>S12</f>
        <v>0.53680555555555554</v>
      </c>
      <c r="Y11" s="16"/>
      <c r="Z11" s="16"/>
      <c r="AA11" s="617"/>
      <c r="AB11" s="617"/>
      <c r="AC11" s="18"/>
      <c r="AD11" s="18"/>
      <c r="AE11" s="14">
        <f t="shared" si="8"/>
        <v>-68.807339449541359</v>
      </c>
      <c r="AF11" s="414">
        <f t="shared" si="9"/>
        <v>0.95412844036697242</v>
      </c>
      <c r="AG11" s="615"/>
    </row>
    <row r="12" spans="1:33" ht="15.75" customHeight="1">
      <c r="A12" s="648" t="s">
        <v>7</v>
      </c>
      <c r="B12" s="29" t="s">
        <v>19</v>
      </c>
      <c r="C12" s="644" t="s">
        <v>20</v>
      </c>
      <c r="D12" s="645"/>
      <c r="E12" s="29">
        <v>39.619999999999997</v>
      </c>
      <c r="F12" s="427">
        <v>1823</v>
      </c>
      <c r="G12" s="415">
        <f t="shared" si="11"/>
        <v>72227.259999999995</v>
      </c>
      <c r="H12" s="33" t="s">
        <v>57</v>
      </c>
      <c r="I12" s="425">
        <v>19</v>
      </c>
      <c r="J12" s="31">
        <v>1500</v>
      </c>
      <c r="K12" s="12">
        <f t="shared" si="1"/>
        <v>78.94736842105263</v>
      </c>
      <c r="L12" s="425">
        <v>19</v>
      </c>
      <c r="M12" s="13">
        <f t="shared" si="12"/>
        <v>1439.2105263157885</v>
      </c>
      <c r="N12" s="12">
        <f t="shared" si="3"/>
        <v>75.747922437673083</v>
      </c>
      <c r="O12" s="14">
        <f t="shared" si="4"/>
        <v>0</v>
      </c>
      <c r="P12" s="15">
        <f t="shared" si="5"/>
        <v>-3.1994459833795474</v>
      </c>
      <c r="Q12" s="414">
        <f t="shared" si="6"/>
        <v>0.9594736842105257</v>
      </c>
      <c r="R12" s="615"/>
      <c r="S12" s="34">
        <v>0.53680555555555554</v>
      </c>
      <c r="T12" s="34">
        <v>0.58958333333333335</v>
      </c>
      <c r="U12" s="415">
        <f t="shared" si="14"/>
        <v>56.999999999999957</v>
      </c>
      <c r="V12" s="426">
        <f t="shared" si="13"/>
        <v>76.000000000000057</v>
      </c>
      <c r="W12" s="16"/>
      <c r="X12" s="16"/>
      <c r="Y12" s="16"/>
      <c r="Z12" s="16"/>
      <c r="AA12" s="624"/>
      <c r="AB12" s="625"/>
      <c r="AC12" s="18"/>
      <c r="AD12" s="18"/>
      <c r="AE12" s="14">
        <f t="shared" si="8"/>
        <v>-60.789473684211544</v>
      </c>
      <c r="AF12" s="414">
        <f t="shared" si="9"/>
        <v>0.95947368421052559</v>
      </c>
      <c r="AG12" s="615"/>
    </row>
    <row r="13" spans="1:33" ht="15.75" customHeight="1">
      <c r="A13" s="648" t="s">
        <v>1990</v>
      </c>
      <c r="B13" s="29" t="s">
        <v>19</v>
      </c>
      <c r="C13" s="644" t="s">
        <v>21</v>
      </c>
      <c r="D13" s="645"/>
      <c r="E13" s="29">
        <v>39.799999999999997</v>
      </c>
      <c r="F13" s="427">
        <v>2341</v>
      </c>
      <c r="G13" s="415">
        <f t="shared" si="11"/>
        <v>93171.799999999988</v>
      </c>
      <c r="H13" s="33" t="s">
        <v>57</v>
      </c>
      <c r="I13" s="425">
        <v>17</v>
      </c>
      <c r="J13" s="31">
        <v>1500</v>
      </c>
      <c r="K13" s="12">
        <f t="shared" si="1"/>
        <v>88.235294117647058</v>
      </c>
      <c r="L13" s="425">
        <v>17</v>
      </c>
      <c r="M13" s="13">
        <f t="shared" si="12"/>
        <v>1433.2653061224494</v>
      </c>
      <c r="N13" s="12">
        <f t="shared" si="3"/>
        <v>84.309723889555841</v>
      </c>
      <c r="O13" s="14">
        <f t="shared" si="4"/>
        <v>0</v>
      </c>
      <c r="P13" s="15">
        <f t="shared" si="5"/>
        <v>-3.9255702280912175</v>
      </c>
      <c r="Q13" s="414">
        <f t="shared" si="6"/>
        <v>0.9555102040816329</v>
      </c>
      <c r="R13" s="615"/>
      <c r="S13" s="34">
        <v>0.59444444444444444</v>
      </c>
      <c r="T13" s="34">
        <v>0.66249999999999998</v>
      </c>
      <c r="U13" s="415">
        <f t="shared" si="14"/>
        <v>6.9999999999999751</v>
      </c>
      <c r="V13" s="426">
        <f t="shared" si="13"/>
        <v>97.999999999999972</v>
      </c>
      <c r="W13" s="16"/>
      <c r="X13" s="16"/>
      <c r="Y13" s="19"/>
      <c r="Z13" s="19"/>
      <c r="AA13" s="624"/>
      <c r="AB13" s="625"/>
      <c r="AC13" s="18"/>
      <c r="AD13" s="18"/>
      <c r="AE13" s="14">
        <f t="shared" si="8"/>
        <v>-66.734693877550626</v>
      </c>
      <c r="AF13" s="414">
        <f t="shared" si="9"/>
        <v>0.9555102040816329</v>
      </c>
      <c r="AG13" s="615"/>
    </row>
    <row r="14" spans="1:33" ht="16.5" customHeight="1">
      <c r="A14" s="648" t="s">
        <v>1990</v>
      </c>
      <c r="B14" s="29" t="s">
        <v>1989</v>
      </c>
      <c r="C14" s="618"/>
      <c r="D14" s="618"/>
      <c r="E14" s="417"/>
      <c r="F14" s="31"/>
      <c r="G14" s="13"/>
      <c r="H14" s="427"/>
      <c r="I14" s="23">
        <v>17.600000000000001</v>
      </c>
      <c r="J14" s="31">
        <v>1500</v>
      </c>
      <c r="K14" s="12">
        <f t="shared" si="1"/>
        <v>85.22727272727272</v>
      </c>
      <c r="L14" s="23">
        <v>17.600000000000001</v>
      </c>
      <c r="M14" s="13">
        <f>AVERAGE(M9:M13)</f>
        <v>1435.4203160898362</v>
      </c>
      <c r="N14" s="12">
        <f t="shared" si="3"/>
        <v>81.557972505104317</v>
      </c>
      <c r="O14" s="14">
        <f t="shared" si="4"/>
        <v>0</v>
      </c>
      <c r="P14" s="15">
        <f t="shared" si="5"/>
        <v>-3.6693002221684026</v>
      </c>
      <c r="Q14" s="414">
        <f t="shared" si="6"/>
        <v>0.95694687739322404</v>
      </c>
      <c r="R14" s="615"/>
      <c r="S14" s="34"/>
      <c r="T14" s="34"/>
      <c r="U14" s="12"/>
      <c r="V14" s="426"/>
      <c r="W14" s="12"/>
      <c r="X14" s="12"/>
      <c r="Y14" s="24">
        <f>SUM(Y9:Y13)</f>
        <v>0</v>
      </c>
      <c r="Z14" s="24">
        <f>SUM(Z9:Z13)</f>
        <v>0</v>
      </c>
      <c r="AA14" s="614"/>
      <c r="AB14" s="614"/>
      <c r="AC14" s="24">
        <v>5</v>
      </c>
      <c r="AD14" s="24">
        <f>SUM(AD9:AD13)</f>
        <v>0</v>
      </c>
      <c r="AE14" s="14">
        <f t="shared" si="8"/>
        <v>-64.579683910163794</v>
      </c>
      <c r="AF14" s="414">
        <f t="shared" si="9"/>
        <v>0.95694687739322415</v>
      </c>
      <c r="AG14" s="615"/>
    </row>
    <row r="15" spans="1:33" ht="16.5" customHeight="1">
      <c r="A15" s="646" t="s">
        <v>1991</v>
      </c>
      <c r="B15" s="427" t="s">
        <v>22</v>
      </c>
      <c r="C15" s="640" t="s">
        <v>23</v>
      </c>
      <c r="D15" s="640"/>
      <c r="E15" s="29">
        <v>41</v>
      </c>
      <c r="F15" s="427">
        <v>2191</v>
      </c>
      <c r="G15" s="415">
        <f t="shared" ref="G15:G21" si="15">E15*F15</f>
        <v>89831</v>
      </c>
      <c r="H15" s="33" t="s">
        <v>57</v>
      </c>
      <c r="I15" s="425">
        <v>26</v>
      </c>
      <c r="J15" s="31">
        <v>1500</v>
      </c>
      <c r="K15" s="12">
        <f t="shared" si="1"/>
        <v>57.692307692307693</v>
      </c>
      <c r="L15" s="425">
        <v>26</v>
      </c>
      <c r="M15" s="13">
        <f t="shared" ref="M15:M21" si="16">F15/V15*60</f>
        <v>1428.9130434782605</v>
      </c>
      <c r="N15" s="12">
        <f t="shared" si="3"/>
        <v>54.9581939799331</v>
      </c>
      <c r="O15" s="14">
        <f t="shared" si="4"/>
        <v>0</v>
      </c>
      <c r="P15" s="15">
        <f t="shared" si="5"/>
        <v>-2.7341137123745938</v>
      </c>
      <c r="Q15" s="414">
        <f t="shared" si="6"/>
        <v>0.95260869565217365</v>
      </c>
      <c r="R15" s="615">
        <f>Q22</f>
        <v>0.95667914960969491</v>
      </c>
      <c r="S15" s="34">
        <v>8.3333333333333329E-2</v>
      </c>
      <c r="T15" s="34">
        <v>0.14722222222222223</v>
      </c>
      <c r="U15" s="415"/>
      <c r="V15" s="426">
        <f t="shared" ref="V15:V21" si="17">(T15-S15)*24*60</f>
        <v>92.000000000000014</v>
      </c>
      <c r="W15" s="16">
        <f>T15</f>
        <v>0.14722222222222223</v>
      </c>
      <c r="X15" s="16">
        <f>S16</f>
        <v>0.16666666666666666</v>
      </c>
      <c r="Y15" s="21"/>
      <c r="Z15" s="21"/>
      <c r="AA15" s="617"/>
      <c r="AB15" s="617"/>
      <c r="AC15" s="18">
        <v>7</v>
      </c>
      <c r="AD15" s="18"/>
      <c r="AE15" s="14">
        <f t="shared" si="8"/>
        <v>-71.086956521739467</v>
      </c>
      <c r="AF15" s="414">
        <f t="shared" si="9"/>
        <v>0.95260869565217365</v>
      </c>
      <c r="AG15" s="615">
        <f>AF22</f>
        <v>0.95667914960969502</v>
      </c>
    </row>
    <row r="16" spans="1:33" ht="16.5" customHeight="1">
      <c r="A16" s="647" t="s">
        <v>1991</v>
      </c>
      <c r="B16" s="427" t="s">
        <v>22</v>
      </c>
      <c r="C16" s="640" t="s">
        <v>87</v>
      </c>
      <c r="D16" s="640"/>
      <c r="E16" s="29">
        <v>38.619999999999997</v>
      </c>
      <c r="F16" s="427">
        <v>2431</v>
      </c>
      <c r="G16" s="415">
        <f t="shared" si="15"/>
        <v>93885.219999999987</v>
      </c>
      <c r="H16" s="33" t="s">
        <v>57</v>
      </c>
      <c r="I16" s="425">
        <v>24</v>
      </c>
      <c r="J16" s="31">
        <v>1500</v>
      </c>
      <c r="K16" s="12">
        <f t="shared" si="1"/>
        <v>62.5</v>
      </c>
      <c r="L16" s="425">
        <v>24</v>
      </c>
      <c r="M16" s="13">
        <f t="shared" si="16"/>
        <v>1430</v>
      </c>
      <c r="N16" s="12">
        <f t="shared" si="3"/>
        <v>59.583333333333336</v>
      </c>
      <c r="O16" s="14">
        <f t="shared" si="4"/>
        <v>0</v>
      </c>
      <c r="P16" s="15">
        <f t="shared" si="5"/>
        <v>-2.9166666666666643</v>
      </c>
      <c r="Q16" s="414">
        <f t="shared" si="6"/>
        <v>0.95333333333333337</v>
      </c>
      <c r="R16" s="615"/>
      <c r="S16" s="34">
        <v>0.16666666666666666</v>
      </c>
      <c r="T16" s="34">
        <v>0.23749999999999999</v>
      </c>
      <c r="U16" s="415">
        <f t="shared" ref="U16:U21" si="18">IF(S16=TIME(17,0,0),"",(S16-T15)*24*60)</f>
        <v>27.999999999999979</v>
      </c>
      <c r="V16" s="426">
        <f t="shared" si="17"/>
        <v>102</v>
      </c>
      <c r="W16" s="16"/>
      <c r="X16" s="16"/>
      <c r="Y16" s="16"/>
      <c r="Z16" s="16"/>
      <c r="AA16" s="617"/>
      <c r="AB16" s="617"/>
      <c r="AC16" s="18"/>
      <c r="AD16" s="18"/>
      <c r="AE16" s="14">
        <f t="shared" si="8"/>
        <v>-70</v>
      </c>
      <c r="AF16" s="414">
        <f t="shared" si="9"/>
        <v>0.95333333333333337</v>
      </c>
      <c r="AG16" s="615"/>
    </row>
    <row r="17" spans="1:33" ht="16.5" customHeight="1">
      <c r="A17" s="647" t="s">
        <v>1991</v>
      </c>
      <c r="B17" s="427" t="s">
        <v>15</v>
      </c>
      <c r="C17" s="640" t="s">
        <v>86</v>
      </c>
      <c r="D17" s="640"/>
      <c r="E17" s="29">
        <v>37.03</v>
      </c>
      <c r="F17" s="427">
        <v>3293</v>
      </c>
      <c r="G17" s="415">
        <f t="shared" si="15"/>
        <v>121939.79000000001</v>
      </c>
      <c r="H17" s="33" t="s">
        <v>57</v>
      </c>
      <c r="I17" s="425">
        <v>13</v>
      </c>
      <c r="J17" s="31">
        <v>1500</v>
      </c>
      <c r="K17" s="12">
        <f t="shared" si="1"/>
        <v>115.38461538461539</v>
      </c>
      <c r="L17" s="425">
        <v>13</v>
      </c>
      <c r="M17" s="13">
        <f t="shared" si="16"/>
        <v>1431.7391304347821</v>
      </c>
      <c r="N17" s="12">
        <f t="shared" si="3"/>
        <v>110.133779264214</v>
      </c>
      <c r="O17" s="14">
        <f t="shared" si="4"/>
        <v>0</v>
      </c>
      <c r="P17" s="15">
        <f t="shared" si="5"/>
        <v>-5.250836120401388</v>
      </c>
      <c r="Q17" s="414">
        <f t="shared" si="6"/>
        <v>0.95449275362318797</v>
      </c>
      <c r="R17" s="615"/>
      <c r="S17" s="34">
        <v>0.24236111111111111</v>
      </c>
      <c r="T17" s="34">
        <v>0.33819444444444446</v>
      </c>
      <c r="U17" s="415">
        <f t="shared" si="18"/>
        <v>7.0000000000000151</v>
      </c>
      <c r="V17" s="426">
        <f t="shared" si="17"/>
        <v>138.00000000000006</v>
      </c>
      <c r="W17" s="16"/>
      <c r="X17" s="16"/>
      <c r="Y17" s="16"/>
      <c r="Z17" s="16"/>
      <c r="AA17" s="617"/>
      <c r="AB17" s="617"/>
      <c r="AC17" s="18"/>
      <c r="AD17" s="18"/>
      <c r="AE17" s="14">
        <f t="shared" si="8"/>
        <v>-68.260869565217945</v>
      </c>
      <c r="AF17" s="414">
        <f t="shared" si="9"/>
        <v>0.95449275362318808</v>
      </c>
      <c r="AG17" s="615"/>
    </row>
    <row r="18" spans="1:33" ht="16.5" customHeight="1">
      <c r="A18" s="647" t="s">
        <v>1991</v>
      </c>
      <c r="B18" s="427" t="s">
        <v>19</v>
      </c>
      <c r="C18" s="640" t="s">
        <v>267</v>
      </c>
      <c r="D18" s="640"/>
      <c r="E18" s="29">
        <v>39.520000000000003</v>
      </c>
      <c r="F18" s="427">
        <v>3889</v>
      </c>
      <c r="G18" s="415">
        <f t="shared" si="15"/>
        <v>153693.28</v>
      </c>
      <c r="H18" s="33" t="s">
        <v>57</v>
      </c>
      <c r="I18" s="425">
        <v>19</v>
      </c>
      <c r="J18" s="31">
        <v>1500</v>
      </c>
      <c r="K18" s="12">
        <f t="shared" si="1"/>
        <v>78.94736842105263</v>
      </c>
      <c r="L18" s="425">
        <v>19</v>
      </c>
      <c r="M18" s="13">
        <f t="shared" si="16"/>
        <v>1431.5337423312885</v>
      </c>
      <c r="N18" s="12">
        <f t="shared" si="3"/>
        <v>75.343881175330978</v>
      </c>
      <c r="O18" s="14">
        <f t="shared" si="4"/>
        <v>0</v>
      </c>
      <c r="P18" s="15">
        <f t="shared" si="5"/>
        <v>-3.6034872457216522</v>
      </c>
      <c r="Q18" s="414">
        <f t="shared" si="6"/>
        <v>0.95435582822085907</v>
      </c>
      <c r="R18" s="615"/>
      <c r="S18" s="34">
        <v>0.34305555555555556</v>
      </c>
      <c r="T18" s="34">
        <v>0.45624999999999999</v>
      </c>
      <c r="U18" s="415">
        <f t="shared" si="18"/>
        <v>6.9999999999999751</v>
      </c>
      <c r="V18" s="426">
        <f t="shared" si="17"/>
        <v>162.99999999999997</v>
      </c>
      <c r="W18" s="16"/>
      <c r="X18" s="16"/>
      <c r="Y18" s="16"/>
      <c r="Z18" s="16"/>
      <c r="AA18" s="617"/>
      <c r="AB18" s="617"/>
      <c r="AC18" s="18"/>
      <c r="AD18" s="18"/>
      <c r="AE18" s="14">
        <f t="shared" si="8"/>
        <v>-68.466257668711478</v>
      </c>
      <c r="AF18" s="414">
        <f t="shared" si="9"/>
        <v>0.95435582822085896</v>
      </c>
      <c r="AG18" s="615"/>
    </row>
    <row r="19" spans="1:33" ht="16.5" customHeight="1">
      <c r="A19" s="647" t="s">
        <v>1991</v>
      </c>
      <c r="B19" s="427" t="s">
        <v>15</v>
      </c>
      <c r="C19" s="640" t="s">
        <v>25</v>
      </c>
      <c r="D19" s="640"/>
      <c r="E19" s="29">
        <v>53.68</v>
      </c>
      <c r="F19" s="427">
        <v>1050</v>
      </c>
      <c r="G19" s="415">
        <f t="shared" si="15"/>
        <v>56364</v>
      </c>
      <c r="H19" s="33" t="s">
        <v>57</v>
      </c>
      <c r="I19" s="425">
        <v>16</v>
      </c>
      <c r="J19" s="31">
        <v>1500</v>
      </c>
      <c r="K19" s="12">
        <f t="shared" si="1"/>
        <v>93.75</v>
      </c>
      <c r="L19" s="425">
        <v>16</v>
      </c>
      <c r="M19" s="13">
        <f t="shared" si="16"/>
        <v>1431.8181818181818</v>
      </c>
      <c r="N19" s="12">
        <f t="shared" si="3"/>
        <v>89.48863636363636</v>
      </c>
      <c r="O19" s="14">
        <f t="shared" si="4"/>
        <v>0</v>
      </c>
      <c r="P19" s="15">
        <f t="shared" si="5"/>
        <v>-4.2613636363636402</v>
      </c>
      <c r="Q19" s="414">
        <f t="shared" si="6"/>
        <v>0.95454545454545447</v>
      </c>
      <c r="R19" s="615"/>
      <c r="S19" s="34">
        <v>0.70833333333333337</v>
      </c>
      <c r="T19" s="34">
        <v>0.73888888888888893</v>
      </c>
      <c r="U19" s="415" t="str">
        <f t="shared" si="18"/>
        <v/>
      </c>
      <c r="V19" s="426">
        <f t="shared" si="17"/>
        <v>44</v>
      </c>
      <c r="W19" s="16"/>
      <c r="X19" s="16"/>
      <c r="Y19" s="16"/>
      <c r="Z19" s="16"/>
      <c r="AA19" s="617"/>
      <c r="AB19" s="617"/>
      <c r="AC19" s="18"/>
      <c r="AD19" s="18"/>
      <c r="AE19" s="14">
        <f t="shared" si="8"/>
        <v>-68.181818181818244</v>
      </c>
      <c r="AF19" s="414">
        <f t="shared" si="9"/>
        <v>0.95454545454545447</v>
      </c>
      <c r="AG19" s="615"/>
    </row>
    <row r="20" spans="1:33" ht="16.5" customHeight="1">
      <c r="A20" s="647" t="s">
        <v>1991</v>
      </c>
      <c r="B20" s="427" t="s">
        <v>15</v>
      </c>
      <c r="C20" s="423" t="s">
        <v>18</v>
      </c>
      <c r="D20" s="424"/>
      <c r="E20" s="29">
        <v>52.86</v>
      </c>
      <c r="F20" s="427">
        <v>1295</v>
      </c>
      <c r="G20" s="415">
        <f t="shared" si="15"/>
        <v>68453.7</v>
      </c>
      <c r="H20" s="33" t="s">
        <v>57</v>
      </c>
      <c r="I20" s="425">
        <v>16</v>
      </c>
      <c r="J20" s="31">
        <v>2000</v>
      </c>
      <c r="K20" s="12">
        <f t="shared" si="1"/>
        <v>125</v>
      </c>
      <c r="L20" s="425">
        <v>16</v>
      </c>
      <c r="M20" s="13">
        <f t="shared" si="16"/>
        <v>1942.4999999999991</v>
      </c>
      <c r="N20" s="12">
        <f t="shared" si="3"/>
        <v>121.40624999999994</v>
      </c>
      <c r="O20" s="14">
        <f t="shared" si="4"/>
        <v>0</v>
      </c>
      <c r="P20" s="15">
        <f t="shared" si="5"/>
        <v>-3.5937500000000568</v>
      </c>
      <c r="Q20" s="414">
        <f t="shared" si="6"/>
        <v>0.9712499999999995</v>
      </c>
      <c r="R20" s="615"/>
      <c r="S20" s="34">
        <v>0.74375000000000002</v>
      </c>
      <c r="T20" s="34">
        <v>0.77152777777777781</v>
      </c>
      <c r="U20" s="415">
        <f t="shared" si="18"/>
        <v>6.9999999999999751</v>
      </c>
      <c r="V20" s="426">
        <f t="shared" si="17"/>
        <v>40.000000000000014</v>
      </c>
      <c r="W20" s="16"/>
      <c r="X20" s="16"/>
      <c r="Y20" s="19"/>
      <c r="Z20" s="19"/>
      <c r="AA20" s="421"/>
      <c r="AB20" s="422"/>
      <c r="AC20" s="18"/>
      <c r="AD20" s="18"/>
      <c r="AE20" s="14">
        <f t="shared" si="8"/>
        <v>-57.500000000000909</v>
      </c>
      <c r="AF20" s="414">
        <f t="shared" si="9"/>
        <v>0.9712499999999995</v>
      </c>
      <c r="AG20" s="615"/>
    </row>
    <row r="21" spans="1:33" ht="16.5" customHeight="1">
      <c r="A21" s="647" t="s">
        <v>1991</v>
      </c>
      <c r="B21" s="427" t="s">
        <v>15</v>
      </c>
      <c r="C21" s="423" t="s">
        <v>16</v>
      </c>
      <c r="D21" s="424"/>
      <c r="E21" s="29">
        <v>50.67</v>
      </c>
      <c r="F21" s="427">
        <v>1556</v>
      </c>
      <c r="G21" s="415">
        <f t="shared" si="15"/>
        <v>78842.52</v>
      </c>
      <c r="H21" s="33" t="s">
        <v>57</v>
      </c>
      <c r="I21" s="425">
        <v>17</v>
      </c>
      <c r="J21" s="31">
        <v>2000</v>
      </c>
      <c r="K21" s="12">
        <f t="shared" si="1"/>
        <v>117.64705882352941</v>
      </c>
      <c r="L21" s="425">
        <v>17</v>
      </c>
      <c r="M21" s="13">
        <f t="shared" si="16"/>
        <v>1905.3061224489802</v>
      </c>
      <c r="N21" s="12">
        <f t="shared" si="3"/>
        <v>112.07683073229295</v>
      </c>
      <c r="O21" s="14">
        <f t="shared" si="4"/>
        <v>0</v>
      </c>
      <c r="P21" s="15">
        <f t="shared" si="5"/>
        <v>-5.5702280912364586</v>
      </c>
      <c r="Q21" s="414">
        <f t="shared" si="6"/>
        <v>0.95265306122449012</v>
      </c>
      <c r="R21" s="615"/>
      <c r="S21" s="34">
        <v>0.77500000000000002</v>
      </c>
      <c r="T21" s="34">
        <v>0.80902777777777779</v>
      </c>
      <c r="U21" s="415">
        <f t="shared" si="18"/>
        <v>4.9999999999999822</v>
      </c>
      <c r="V21" s="426">
        <f t="shared" si="17"/>
        <v>48.999999999999986</v>
      </c>
      <c r="W21" s="16"/>
      <c r="X21" s="16"/>
      <c r="Y21" s="19"/>
      <c r="Z21" s="19"/>
      <c r="AA21" s="421"/>
      <c r="AB21" s="422"/>
      <c r="AC21" s="18"/>
      <c r="AD21" s="18"/>
      <c r="AE21" s="14">
        <f t="shared" si="8"/>
        <v>-94.693877551019796</v>
      </c>
      <c r="AF21" s="414">
        <f t="shared" si="9"/>
        <v>0.95265306122449012</v>
      </c>
      <c r="AG21" s="615"/>
    </row>
    <row r="22" spans="1:33" ht="16.5" customHeight="1">
      <c r="A22" s="647" t="s">
        <v>1991</v>
      </c>
      <c r="B22" s="29" t="s">
        <v>1989</v>
      </c>
      <c r="C22" s="618"/>
      <c r="D22" s="618"/>
      <c r="E22" s="417"/>
      <c r="F22" s="30"/>
      <c r="G22" s="12"/>
      <c r="H22" s="427"/>
      <c r="I22" s="23">
        <v>18.714285714285715</v>
      </c>
      <c r="J22" s="31">
        <v>1642.8571428571429</v>
      </c>
      <c r="K22" s="12">
        <f t="shared" si="1"/>
        <v>87.786259541984734</v>
      </c>
      <c r="L22" s="23">
        <v>18.714285714285715</v>
      </c>
      <c r="M22" s="13">
        <f>AVERAGE(M15:M21)</f>
        <v>1571.6871743587847</v>
      </c>
      <c r="N22" s="12">
        <f t="shared" si="3"/>
        <v>83.983284126041923</v>
      </c>
      <c r="O22" s="14">
        <f t="shared" si="4"/>
        <v>0</v>
      </c>
      <c r="P22" s="15">
        <f t="shared" si="5"/>
        <v>-3.8029754159428109</v>
      </c>
      <c r="Q22" s="414">
        <f t="shared" si="6"/>
        <v>0.95667914960969491</v>
      </c>
      <c r="R22" s="615"/>
      <c r="S22" s="34"/>
      <c r="T22" s="34"/>
      <c r="U22" s="415"/>
      <c r="V22" s="426"/>
      <c r="W22" s="12"/>
      <c r="X22" s="12"/>
      <c r="Y22" s="24">
        <f>SUM(Y15:Y21)</f>
        <v>0</v>
      </c>
      <c r="Z22" s="24">
        <f>SUM(Z15:Z21)</f>
        <v>0</v>
      </c>
      <c r="AA22" s="614"/>
      <c r="AB22" s="614"/>
      <c r="AC22" s="24">
        <v>7</v>
      </c>
      <c r="AD22" s="24">
        <f>SUM(AD15:AD21)</f>
        <v>0</v>
      </c>
      <c r="AE22" s="14">
        <f t="shared" si="8"/>
        <v>-71.16996849835823</v>
      </c>
      <c r="AF22" s="414">
        <f t="shared" si="9"/>
        <v>0.95667914960969502</v>
      </c>
      <c r="AG22" s="615"/>
    </row>
    <row r="23" spans="1:33" ht="15.75" customHeight="1">
      <c r="A23" s="642" t="s">
        <v>1992</v>
      </c>
      <c r="B23" s="29" t="s">
        <v>15</v>
      </c>
      <c r="C23" s="640" t="s">
        <v>24</v>
      </c>
      <c r="D23" s="640"/>
      <c r="E23" s="29">
        <v>54.09</v>
      </c>
      <c r="F23" s="427">
        <v>1442</v>
      </c>
      <c r="G23" s="415">
        <f t="shared" ref="G23:G29" si="19">E23*F23</f>
        <v>77997.78</v>
      </c>
      <c r="H23" s="33" t="s">
        <v>57</v>
      </c>
      <c r="I23" s="425">
        <v>17</v>
      </c>
      <c r="J23" s="31">
        <v>1500</v>
      </c>
      <c r="K23" s="12">
        <f t="shared" si="1"/>
        <v>88.235294117647058</v>
      </c>
      <c r="L23" s="425">
        <v>17</v>
      </c>
      <c r="M23" s="13">
        <f t="shared" ref="M23:M29" si="20">F23/V23*60</f>
        <v>1442.0000000000002</v>
      </c>
      <c r="N23" s="12">
        <f t="shared" si="3"/>
        <v>84.823529411764724</v>
      </c>
      <c r="O23" s="14">
        <f t="shared" si="4"/>
        <v>0</v>
      </c>
      <c r="P23" s="15">
        <f t="shared" si="5"/>
        <v>-3.4117647058823337</v>
      </c>
      <c r="Q23" s="414">
        <f t="shared" si="6"/>
        <v>0.9613333333333336</v>
      </c>
      <c r="R23" s="615">
        <f>Q30</f>
        <v>0.95741279023723624</v>
      </c>
      <c r="S23" s="34">
        <v>0.20833333333333334</v>
      </c>
      <c r="T23" s="34">
        <v>0.25</v>
      </c>
      <c r="U23" s="415"/>
      <c r="V23" s="426">
        <f t="shared" ref="V23:V29" si="21">(T23-S23)*24*60</f>
        <v>59.999999999999986</v>
      </c>
      <c r="W23" s="21"/>
      <c r="X23" s="21"/>
      <c r="Y23" s="21"/>
      <c r="Z23" s="21"/>
      <c r="AA23" s="617"/>
      <c r="AB23" s="617"/>
      <c r="AC23" s="18">
        <v>7</v>
      </c>
      <c r="AD23" s="18"/>
      <c r="AE23" s="14">
        <f t="shared" si="8"/>
        <v>-57.999999999999773</v>
      </c>
      <c r="AF23" s="414">
        <f t="shared" si="9"/>
        <v>0.96133333333333348</v>
      </c>
      <c r="AG23" s="615">
        <f>AF30</f>
        <v>0.95741279023723636</v>
      </c>
    </row>
    <row r="24" spans="1:33" ht="15.75" customHeight="1">
      <c r="A24" s="643" t="s">
        <v>1992</v>
      </c>
      <c r="B24" s="29" t="s">
        <v>15</v>
      </c>
      <c r="C24" s="640" t="s">
        <v>28</v>
      </c>
      <c r="D24" s="640"/>
      <c r="E24" s="29">
        <v>50.67</v>
      </c>
      <c r="F24" s="427">
        <v>2286</v>
      </c>
      <c r="G24" s="415">
        <f t="shared" si="19"/>
        <v>115831.62000000001</v>
      </c>
      <c r="H24" s="33" t="s">
        <v>57</v>
      </c>
      <c r="I24" s="425">
        <v>17</v>
      </c>
      <c r="J24" s="31">
        <v>2000</v>
      </c>
      <c r="K24" s="12">
        <f t="shared" si="1"/>
        <v>117.64705882352941</v>
      </c>
      <c r="L24" s="425">
        <v>17</v>
      </c>
      <c r="M24" s="13">
        <f t="shared" si="20"/>
        <v>1905.0000000000005</v>
      </c>
      <c r="N24" s="12">
        <f t="shared" si="3"/>
        <v>112.0588235294118</v>
      </c>
      <c r="O24" s="14">
        <f t="shared" si="4"/>
        <v>0</v>
      </c>
      <c r="P24" s="15">
        <f t="shared" si="5"/>
        <v>-5.5882352941176094</v>
      </c>
      <c r="Q24" s="414">
        <f t="shared" si="6"/>
        <v>0.95250000000000035</v>
      </c>
      <c r="R24" s="615"/>
      <c r="S24" s="34">
        <v>0.25347222222222221</v>
      </c>
      <c r="T24" s="34">
        <v>0.3034722222222222</v>
      </c>
      <c r="U24" s="415">
        <f t="shared" ref="U24:U29" si="22">IF(S24=TIME(17,0,0),"",(S24-T23)*24*60)</f>
        <v>4.9999999999999822</v>
      </c>
      <c r="V24" s="426">
        <f t="shared" si="21"/>
        <v>71.999999999999986</v>
      </c>
      <c r="W24" s="16"/>
      <c r="X24" s="415"/>
      <c r="Y24" s="415"/>
      <c r="Z24" s="415"/>
      <c r="AA24" s="617"/>
      <c r="AB24" s="617"/>
      <c r="AC24" s="18"/>
      <c r="AD24" s="18"/>
      <c r="AE24" s="14">
        <f t="shared" si="8"/>
        <v>-94.999999999999545</v>
      </c>
      <c r="AF24" s="414">
        <f t="shared" si="9"/>
        <v>0.95250000000000024</v>
      </c>
      <c r="AG24" s="615"/>
    </row>
    <row r="25" spans="1:33" ht="15.75" customHeight="1">
      <c r="A25" s="643" t="s">
        <v>1992</v>
      </c>
      <c r="B25" s="29" t="s">
        <v>15</v>
      </c>
      <c r="C25" s="640" t="s">
        <v>29</v>
      </c>
      <c r="D25" s="640"/>
      <c r="E25" s="29">
        <v>57.73</v>
      </c>
      <c r="F25" s="427">
        <v>2740</v>
      </c>
      <c r="G25" s="415">
        <f t="shared" si="19"/>
        <v>158180.19999999998</v>
      </c>
      <c r="H25" s="33" t="s">
        <v>57</v>
      </c>
      <c r="I25" s="425">
        <v>14</v>
      </c>
      <c r="J25" s="31">
        <v>2000</v>
      </c>
      <c r="K25" s="12">
        <f t="shared" si="1"/>
        <v>142.85714285714286</v>
      </c>
      <c r="L25" s="425">
        <v>14</v>
      </c>
      <c r="M25" s="13">
        <f t="shared" si="20"/>
        <v>1911.627906976744</v>
      </c>
      <c r="N25" s="12">
        <f t="shared" si="3"/>
        <v>136.54485049833886</v>
      </c>
      <c r="O25" s="14">
        <f t="shared" si="4"/>
        <v>0</v>
      </c>
      <c r="P25" s="15">
        <f t="shared" si="5"/>
        <v>-6.312292358804001</v>
      </c>
      <c r="Q25" s="414">
        <f t="shared" si="6"/>
        <v>0.95581395348837195</v>
      </c>
      <c r="R25" s="615"/>
      <c r="S25" s="34">
        <v>0.30902777777777773</v>
      </c>
      <c r="T25" s="34">
        <v>0.36874999999999997</v>
      </c>
      <c r="U25" s="415">
        <f t="shared" si="22"/>
        <v>7.9999999999999716</v>
      </c>
      <c r="V25" s="426">
        <f t="shared" si="21"/>
        <v>86.000000000000014</v>
      </c>
      <c r="W25" s="16"/>
      <c r="X25" s="415"/>
      <c r="Y25" s="415"/>
      <c r="Z25" s="415"/>
      <c r="AA25" s="617"/>
      <c r="AB25" s="617"/>
      <c r="AC25" s="18"/>
      <c r="AD25" s="18"/>
      <c r="AE25" s="14">
        <f t="shared" si="8"/>
        <v>-88.372093023255957</v>
      </c>
      <c r="AF25" s="414">
        <f t="shared" si="9"/>
        <v>0.95581395348837206</v>
      </c>
      <c r="AG25" s="615"/>
    </row>
    <row r="26" spans="1:33" ht="15.75" customHeight="1">
      <c r="A26" s="643" t="s">
        <v>1992</v>
      </c>
      <c r="B26" s="29" t="s">
        <v>15</v>
      </c>
      <c r="C26" s="640" t="s">
        <v>80</v>
      </c>
      <c r="D26" s="640"/>
      <c r="E26" s="29">
        <v>53.27</v>
      </c>
      <c r="F26" s="427">
        <v>1962</v>
      </c>
      <c r="G26" s="415">
        <f t="shared" si="19"/>
        <v>104515.74</v>
      </c>
      <c r="H26" s="33" t="s">
        <v>57</v>
      </c>
      <c r="I26" s="425">
        <v>16</v>
      </c>
      <c r="J26" s="31">
        <v>2000</v>
      </c>
      <c r="K26" s="12">
        <f t="shared" si="1"/>
        <v>125</v>
      </c>
      <c r="L26" s="425">
        <v>16</v>
      </c>
      <c r="M26" s="13">
        <f t="shared" si="20"/>
        <v>1929.8360655737697</v>
      </c>
      <c r="N26" s="12">
        <f t="shared" si="3"/>
        <v>120.61475409836061</v>
      </c>
      <c r="O26" s="14">
        <f t="shared" si="4"/>
        <v>0</v>
      </c>
      <c r="P26" s="15">
        <f t="shared" si="5"/>
        <v>-4.3852459016393937</v>
      </c>
      <c r="Q26" s="414">
        <f t="shared" si="6"/>
        <v>0.96491803278688482</v>
      </c>
      <c r="R26" s="615"/>
      <c r="S26" s="34">
        <v>0.37361111111111106</v>
      </c>
      <c r="T26" s="34">
        <v>0.41597222222222219</v>
      </c>
      <c r="U26" s="415">
        <f t="shared" si="22"/>
        <v>6.9999999999999751</v>
      </c>
      <c r="V26" s="426">
        <f t="shared" si="21"/>
        <v>61.000000000000021</v>
      </c>
      <c r="W26" s="16"/>
      <c r="X26" s="415"/>
      <c r="Y26" s="415"/>
      <c r="Z26" s="415"/>
      <c r="AA26" s="617"/>
      <c r="AB26" s="617"/>
      <c r="AC26" s="18"/>
      <c r="AD26" s="18"/>
      <c r="AE26" s="14">
        <f t="shared" si="8"/>
        <v>-70.163934426230298</v>
      </c>
      <c r="AF26" s="414">
        <f t="shared" si="9"/>
        <v>0.96491803278688482</v>
      </c>
      <c r="AG26" s="615"/>
    </row>
    <row r="27" spans="1:33" ht="15.75" customHeight="1">
      <c r="A27" s="643" t="s">
        <v>1992</v>
      </c>
      <c r="B27" s="29" t="s">
        <v>15</v>
      </c>
      <c r="C27" s="640" t="s">
        <v>1472</v>
      </c>
      <c r="D27" s="640"/>
      <c r="E27" s="29">
        <v>51.44</v>
      </c>
      <c r="F27" s="427">
        <v>2188</v>
      </c>
      <c r="G27" s="415">
        <f t="shared" si="19"/>
        <v>112550.72</v>
      </c>
      <c r="H27" s="33" t="s">
        <v>57</v>
      </c>
      <c r="I27" s="425">
        <v>25</v>
      </c>
      <c r="J27" s="31">
        <v>2000</v>
      </c>
      <c r="K27" s="12">
        <f t="shared" si="1"/>
        <v>80</v>
      </c>
      <c r="L27" s="425">
        <v>25</v>
      </c>
      <c r="M27" s="13">
        <f t="shared" si="20"/>
        <v>1902.6086956521738</v>
      </c>
      <c r="N27" s="12">
        <f t="shared" si="3"/>
        <v>76.104347826086951</v>
      </c>
      <c r="O27" s="14">
        <f t="shared" si="4"/>
        <v>0</v>
      </c>
      <c r="P27" s="15">
        <f t="shared" si="5"/>
        <v>-3.8956521739130494</v>
      </c>
      <c r="Q27" s="414">
        <f t="shared" si="6"/>
        <v>0.95130434782608686</v>
      </c>
      <c r="R27" s="615"/>
      <c r="S27" s="34">
        <v>0.42083333333333328</v>
      </c>
      <c r="T27" s="34">
        <v>0.46874999999999994</v>
      </c>
      <c r="U27" s="415">
        <f t="shared" si="22"/>
        <v>6.9999999999999751</v>
      </c>
      <c r="V27" s="426">
        <f t="shared" si="21"/>
        <v>69</v>
      </c>
      <c r="W27" s="16"/>
      <c r="X27" s="16"/>
      <c r="Y27" s="415"/>
      <c r="Z27" s="415"/>
      <c r="AA27" s="617"/>
      <c r="AB27" s="617"/>
      <c r="AC27" s="18"/>
      <c r="AD27" s="18"/>
      <c r="AE27" s="14">
        <f t="shared" si="8"/>
        <v>-97.391304347826235</v>
      </c>
      <c r="AF27" s="414">
        <f t="shared" si="9"/>
        <v>0.95130434782608686</v>
      </c>
      <c r="AG27" s="615"/>
    </row>
    <row r="28" spans="1:33" ht="15.75" customHeight="1">
      <c r="A28" s="643" t="s">
        <v>1992</v>
      </c>
      <c r="B28" s="29" t="s">
        <v>15</v>
      </c>
      <c r="C28" s="640" t="s">
        <v>30</v>
      </c>
      <c r="D28" s="640"/>
      <c r="E28" s="29">
        <v>50.49</v>
      </c>
      <c r="F28" s="427">
        <v>1924</v>
      </c>
      <c r="G28" s="415">
        <f t="shared" si="19"/>
        <v>97142.760000000009</v>
      </c>
      <c r="H28" s="33" t="s">
        <v>57</v>
      </c>
      <c r="I28" s="425">
        <v>15</v>
      </c>
      <c r="J28" s="31">
        <v>2000</v>
      </c>
      <c r="K28" s="12">
        <f t="shared" si="1"/>
        <v>133.33333333333334</v>
      </c>
      <c r="L28" s="425">
        <v>15</v>
      </c>
      <c r="M28" s="13">
        <f t="shared" si="20"/>
        <v>1924.0000000000018</v>
      </c>
      <c r="N28" s="12">
        <f t="shared" si="3"/>
        <v>128.26666666666679</v>
      </c>
      <c r="O28" s="14">
        <f t="shared" si="4"/>
        <v>0</v>
      </c>
      <c r="P28" s="15">
        <f t="shared" si="5"/>
        <v>-5.0666666666665492</v>
      </c>
      <c r="Q28" s="414">
        <f t="shared" si="6"/>
        <v>0.96200000000000085</v>
      </c>
      <c r="R28" s="615"/>
      <c r="S28" s="34">
        <v>0.70833333333333337</v>
      </c>
      <c r="T28" s="34">
        <v>0.75</v>
      </c>
      <c r="U28" s="415" t="str">
        <f t="shared" si="22"/>
        <v/>
      </c>
      <c r="V28" s="426">
        <f t="shared" si="21"/>
        <v>59.999999999999943</v>
      </c>
      <c r="W28" s="16"/>
      <c r="X28" s="21"/>
      <c r="Y28" s="21"/>
      <c r="Z28" s="21"/>
      <c r="AA28" s="617"/>
      <c r="AB28" s="617"/>
      <c r="AC28" s="18"/>
      <c r="AD28" s="18"/>
      <c r="AE28" s="14">
        <f t="shared" si="8"/>
        <v>-75.999999999998181</v>
      </c>
      <c r="AF28" s="414">
        <f t="shared" si="9"/>
        <v>0.96200000000000085</v>
      </c>
      <c r="AG28" s="615"/>
    </row>
    <row r="29" spans="1:33" ht="15.75" customHeight="1">
      <c r="A29" s="643" t="s">
        <v>1992</v>
      </c>
      <c r="B29" s="29" t="s">
        <v>15</v>
      </c>
      <c r="C29" s="666" t="s">
        <v>82</v>
      </c>
      <c r="D29" s="667"/>
      <c r="E29" s="29">
        <v>51.06</v>
      </c>
      <c r="F29" s="427">
        <v>3247</v>
      </c>
      <c r="G29" s="415">
        <f t="shared" si="19"/>
        <v>165791.82</v>
      </c>
      <c r="H29" s="33" t="s">
        <v>57</v>
      </c>
      <c r="I29" s="425">
        <v>13</v>
      </c>
      <c r="J29" s="31">
        <v>2000</v>
      </c>
      <c r="K29" s="12">
        <f t="shared" si="1"/>
        <v>153.84615384615384</v>
      </c>
      <c r="L29" s="425">
        <v>13</v>
      </c>
      <c r="M29" s="13">
        <f t="shared" si="20"/>
        <v>1910.0000000000007</v>
      </c>
      <c r="N29" s="12">
        <f t="shared" si="3"/>
        <v>146.92307692307696</v>
      </c>
      <c r="O29" s="14">
        <f t="shared" si="4"/>
        <v>0</v>
      </c>
      <c r="P29" s="15">
        <f t="shared" si="5"/>
        <v>-6.9230769230768772</v>
      </c>
      <c r="Q29" s="414">
        <f t="shared" si="6"/>
        <v>0.95500000000000029</v>
      </c>
      <c r="R29" s="615"/>
      <c r="S29" s="34">
        <v>0.75347222222222221</v>
      </c>
      <c r="T29" s="34">
        <v>0.82430555555555551</v>
      </c>
      <c r="U29" s="415">
        <f t="shared" si="22"/>
        <v>4.9999999999999822</v>
      </c>
      <c r="V29" s="426">
        <f t="shared" si="21"/>
        <v>101.99999999999996</v>
      </c>
      <c r="W29" s="16"/>
      <c r="X29" s="21"/>
      <c r="Y29" s="22"/>
      <c r="Z29" s="22"/>
      <c r="AA29" s="624"/>
      <c r="AB29" s="625"/>
      <c r="AC29" s="18"/>
      <c r="AD29" s="18"/>
      <c r="AE29" s="14">
        <f t="shared" si="8"/>
        <v>-89.999999999999318</v>
      </c>
      <c r="AF29" s="414">
        <f t="shared" si="9"/>
        <v>0.95500000000000029</v>
      </c>
      <c r="AG29" s="615"/>
    </row>
    <row r="30" spans="1:33" ht="15.75" customHeight="1">
      <c r="A30" s="643" t="s">
        <v>1992</v>
      </c>
      <c r="B30" s="29" t="s">
        <v>1989</v>
      </c>
      <c r="C30" s="618"/>
      <c r="D30" s="618"/>
      <c r="E30" s="417"/>
      <c r="F30" s="427"/>
      <c r="G30" s="415"/>
      <c r="H30" s="427"/>
      <c r="I30" s="23">
        <v>16.714285714285715</v>
      </c>
      <c r="J30" s="31">
        <v>1928.5714285714287</v>
      </c>
      <c r="K30" s="12">
        <f t="shared" si="1"/>
        <v>115.38461538461539</v>
      </c>
      <c r="L30" s="23">
        <v>16.714285714285715</v>
      </c>
      <c r="M30" s="13">
        <f>AVERAGE(M23:M29)</f>
        <v>1846.4389526003845</v>
      </c>
      <c r="N30" s="12">
        <f t="shared" si="3"/>
        <v>110.47070656583496</v>
      </c>
      <c r="O30" s="14">
        <f t="shared" si="4"/>
        <v>0</v>
      </c>
      <c r="P30" s="15">
        <f t="shared" si="5"/>
        <v>-4.9139088187804276</v>
      </c>
      <c r="Q30" s="414">
        <f t="shared" si="6"/>
        <v>0.95741279023723624</v>
      </c>
      <c r="R30" s="615"/>
      <c r="S30" s="34"/>
      <c r="T30" s="34"/>
      <c r="U30" s="12"/>
      <c r="V30" s="426"/>
      <c r="W30" s="12"/>
      <c r="X30" s="12"/>
      <c r="Y30" s="24">
        <f>SUM(Y23:Y29)</f>
        <v>0</v>
      </c>
      <c r="Z30" s="24">
        <f>SUM(Z23:Z29)</f>
        <v>0</v>
      </c>
      <c r="AA30" s="614"/>
      <c r="AB30" s="614"/>
      <c r="AC30" s="24">
        <v>7</v>
      </c>
      <c r="AD30" s="24">
        <f>SUM(AD23:AD29)</f>
        <v>0</v>
      </c>
      <c r="AE30" s="14">
        <f t="shared" si="8"/>
        <v>-82.132475971044187</v>
      </c>
      <c r="AF30" s="414">
        <f t="shared" si="9"/>
        <v>0.95741279023723636</v>
      </c>
      <c r="AG30" s="615"/>
    </row>
    <row r="31" spans="1:33" ht="15.75" customHeight="1">
      <c r="A31" s="641" t="s">
        <v>1993</v>
      </c>
      <c r="B31" s="29" t="s">
        <v>32</v>
      </c>
      <c r="C31" s="640" t="s">
        <v>33</v>
      </c>
      <c r="D31" s="640"/>
      <c r="E31" s="29">
        <v>31.29</v>
      </c>
      <c r="F31" s="427">
        <v>6300</v>
      </c>
      <c r="G31" s="415">
        <f t="shared" ref="G31:G38" si="23">E31*F31</f>
        <v>197127</v>
      </c>
      <c r="H31" s="33">
        <v>2</v>
      </c>
      <c r="I31" s="425">
        <v>18</v>
      </c>
      <c r="J31" s="31">
        <v>2400</v>
      </c>
      <c r="K31" s="12">
        <f t="shared" si="1"/>
        <v>133.33333333333334</v>
      </c>
      <c r="L31" s="425">
        <v>18</v>
      </c>
      <c r="M31" s="13">
        <f t="shared" ref="M31:M38" si="24">F31/V31*60</f>
        <v>2290.909090909091</v>
      </c>
      <c r="N31" s="12">
        <f t="shared" si="3"/>
        <v>127.27272727272728</v>
      </c>
      <c r="O31" s="14">
        <f t="shared" si="4"/>
        <v>0</v>
      </c>
      <c r="P31" s="15">
        <f t="shared" si="5"/>
        <v>-6.0606060606060623</v>
      </c>
      <c r="Q31" s="414">
        <f t="shared" si="6"/>
        <v>0.95454545454545459</v>
      </c>
      <c r="R31" s="615">
        <f>Q39</f>
        <v>0.95743240845907718</v>
      </c>
      <c r="S31" s="34">
        <v>8.3333333333333329E-2</v>
      </c>
      <c r="T31" s="34">
        <v>0.19791666666666666</v>
      </c>
      <c r="U31" s="415"/>
      <c r="V31" s="426">
        <f t="shared" ref="V31:V38" si="25">(T31-S31)*24*60</f>
        <v>165</v>
      </c>
      <c r="W31" s="16">
        <f>T31</f>
        <v>0.19791666666666666</v>
      </c>
      <c r="X31" s="16">
        <f>S32</f>
        <v>0.21805555555555556</v>
      </c>
      <c r="Y31" s="16"/>
      <c r="Z31" s="16"/>
      <c r="AA31" s="617"/>
      <c r="AB31" s="617"/>
      <c r="AC31" s="18">
        <v>8</v>
      </c>
      <c r="AD31" s="18"/>
      <c r="AE31" s="14">
        <f t="shared" si="8"/>
        <v>-109.09090909090901</v>
      </c>
      <c r="AF31" s="414">
        <f t="shared" si="9"/>
        <v>0.95454545454545459</v>
      </c>
      <c r="AG31" s="615">
        <f>AF39</f>
        <v>0.95743240845907718</v>
      </c>
    </row>
    <row r="32" spans="1:33" ht="15.75" customHeight="1">
      <c r="A32" s="641" t="s">
        <v>1993</v>
      </c>
      <c r="B32" s="29" t="s">
        <v>32</v>
      </c>
      <c r="C32" s="640" t="s">
        <v>34</v>
      </c>
      <c r="D32" s="640"/>
      <c r="E32" s="29">
        <v>26.37</v>
      </c>
      <c r="F32" s="427">
        <v>4100</v>
      </c>
      <c r="G32" s="415">
        <f t="shared" si="23"/>
        <v>108117</v>
      </c>
      <c r="H32" s="33">
        <v>2</v>
      </c>
      <c r="I32" s="425">
        <v>18</v>
      </c>
      <c r="J32" s="31">
        <v>2400</v>
      </c>
      <c r="K32" s="12">
        <f t="shared" si="1"/>
        <v>133.33333333333334</v>
      </c>
      <c r="L32" s="425">
        <v>18</v>
      </c>
      <c r="M32" s="13">
        <f t="shared" si="24"/>
        <v>2299.0654205607475</v>
      </c>
      <c r="N32" s="12">
        <f t="shared" si="3"/>
        <v>127.72585669781931</v>
      </c>
      <c r="O32" s="14">
        <f t="shared" si="4"/>
        <v>0</v>
      </c>
      <c r="P32" s="15">
        <f t="shared" si="5"/>
        <v>-5.6074766355140326</v>
      </c>
      <c r="Q32" s="414">
        <f t="shared" si="6"/>
        <v>0.9579439252336448</v>
      </c>
      <c r="R32" s="615"/>
      <c r="S32" s="34">
        <v>0.21805555555555556</v>
      </c>
      <c r="T32" s="34">
        <v>0.29236111111111113</v>
      </c>
      <c r="U32" s="415">
        <f t="shared" ref="U32:U38" si="26">(S32-T31)*24*60</f>
        <v>29.000000000000018</v>
      </c>
      <c r="V32" s="426">
        <f t="shared" si="25"/>
        <v>107.00000000000001</v>
      </c>
      <c r="W32" s="16"/>
      <c r="X32" s="16"/>
      <c r="Y32" s="16"/>
      <c r="Z32" s="16"/>
      <c r="AA32" s="617"/>
      <c r="AB32" s="617"/>
      <c r="AC32" s="18"/>
      <c r="AD32" s="18"/>
      <c r="AE32" s="14">
        <f t="shared" si="8"/>
        <v>-100.9345794392525</v>
      </c>
      <c r="AF32" s="414">
        <f t="shared" si="9"/>
        <v>0.9579439252336448</v>
      </c>
      <c r="AG32" s="615"/>
    </row>
    <row r="33" spans="1:33" ht="15.75" customHeight="1">
      <c r="A33" s="641" t="s">
        <v>1993</v>
      </c>
      <c r="B33" s="29" t="s">
        <v>32</v>
      </c>
      <c r="C33" s="640" t="s">
        <v>76</v>
      </c>
      <c r="D33" s="640"/>
      <c r="E33" s="29">
        <v>26.18</v>
      </c>
      <c r="F33" s="427">
        <v>5100</v>
      </c>
      <c r="G33" s="415">
        <f t="shared" si="23"/>
        <v>133518</v>
      </c>
      <c r="H33" s="33">
        <v>2</v>
      </c>
      <c r="I33" s="425">
        <v>18</v>
      </c>
      <c r="J33" s="31">
        <v>2400</v>
      </c>
      <c r="K33" s="12">
        <f t="shared" si="1"/>
        <v>133.33333333333334</v>
      </c>
      <c r="L33" s="425">
        <v>18</v>
      </c>
      <c r="M33" s="13">
        <f t="shared" si="24"/>
        <v>2300.7518796992481</v>
      </c>
      <c r="N33" s="12">
        <f t="shared" si="3"/>
        <v>127.81954887218045</v>
      </c>
      <c r="O33" s="14">
        <f t="shared" si="4"/>
        <v>0</v>
      </c>
      <c r="P33" s="15">
        <f t="shared" si="5"/>
        <v>-5.5137844611528948</v>
      </c>
      <c r="Q33" s="414">
        <f t="shared" si="6"/>
        <v>0.9586466165413533</v>
      </c>
      <c r="R33" s="615"/>
      <c r="S33" s="34">
        <v>0.29583333333333334</v>
      </c>
      <c r="T33" s="34">
        <v>0.38819444444444445</v>
      </c>
      <c r="U33" s="415">
        <f t="shared" si="26"/>
        <v>4.9999999999999822</v>
      </c>
      <c r="V33" s="426">
        <f t="shared" si="25"/>
        <v>133</v>
      </c>
      <c r="W33" s="16"/>
      <c r="X33" s="16"/>
      <c r="Y33" s="16"/>
      <c r="Z33" s="16"/>
      <c r="AA33" s="617"/>
      <c r="AB33" s="617"/>
      <c r="AC33" s="18"/>
      <c r="AD33" s="18"/>
      <c r="AE33" s="14">
        <f t="shared" si="8"/>
        <v>-99.248120300751907</v>
      </c>
      <c r="AF33" s="414">
        <f t="shared" si="9"/>
        <v>0.95864661654135341</v>
      </c>
      <c r="AG33" s="615"/>
    </row>
    <row r="34" spans="1:33" ht="15.75" customHeight="1">
      <c r="A34" s="641" t="s">
        <v>1993</v>
      </c>
      <c r="B34" s="29" t="s">
        <v>32</v>
      </c>
      <c r="C34" s="640" t="s">
        <v>79</v>
      </c>
      <c r="D34" s="640"/>
      <c r="E34" s="29">
        <v>25.99</v>
      </c>
      <c r="F34" s="427">
        <v>2099</v>
      </c>
      <c r="G34" s="415">
        <f t="shared" si="23"/>
        <v>54553.009999999995</v>
      </c>
      <c r="H34" s="33" t="s">
        <v>57</v>
      </c>
      <c r="I34" s="425">
        <v>18</v>
      </c>
      <c r="J34" s="31">
        <v>2400</v>
      </c>
      <c r="K34" s="12">
        <f t="shared" si="1"/>
        <v>133.33333333333334</v>
      </c>
      <c r="L34" s="425">
        <v>18</v>
      </c>
      <c r="M34" s="13">
        <f t="shared" si="24"/>
        <v>2289.8181818181829</v>
      </c>
      <c r="N34" s="12">
        <f t="shared" si="3"/>
        <v>127.21212121212127</v>
      </c>
      <c r="O34" s="14">
        <f t="shared" si="4"/>
        <v>0</v>
      </c>
      <c r="P34" s="15">
        <f t="shared" si="5"/>
        <v>-6.1212121212120678</v>
      </c>
      <c r="Q34" s="414">
        <f t="shared" si="6"/>
        <v>0.95409090909090954</v>
      </c>
      <c r="R34" s="615"/>
      <c r="S34" s="34">
        <v>0.39374999999999999</v>
      </c>
      <c r="T34" s="34">
        <v>0.43194444444444441</v>
      </c>
      <c r="U34" s="415">
        <f t="shared" si="26"/>
        <v>7.9999999999999716</v>
      </c>
      <c r="V34" s="426">
        <f t="shared" si="25"/>
        <v>54.999999999999964</v>
      </c>
      <c r="W34" s="16"/>
      <c r="X34" s="16"/>
      <c r="Y34" s="16"/>
      <c r="Z34" s="16"/>
      <c r="AA34" s="617"/>
      <c r="AB34" s="617"/>
      <c r="AC34" s="18"/>
      <c r="AD34" s="18"/>
      <c r="AE34" s="14">
        <f t="shared" si="8"/>
        <v>-110.18181818181711</v>
      </c>
      <c r="AF34" s="414">
        <f t="shared" si="9"/>
        <v>0.95409090909090954</v>
      </c>
      <c r="AG34" s="615"/>
    </row>
    <row r="35" spans="1:33" ht="15.75" customHeight="1">
      <c r="A35" s="641" t="s">
        <v>1993</v>
      </c>
      <c r="B35" s="29" t="s">
        <v>32</v>
      </c>
      <c r="C35" s="640" t="s">
        <v>35</v>
      </c>
      <c r="D35" s="640"/>
      <c r="E35" s="29">
        <v>25.99</v>
      </c>
      <c r="F35" s="427">
        <v>4164</v>
      </c>
      <c r="G35" s="415">
        <f t="shared" si="23"/>
        <v>108222.36</v>
      </c>
      <c r="H35" s="33" t="s">
        <v>57</v>
      </c>
      <c r="I35" s="425">
        <v>14</v>
      </c>
      <c r="J35" s="31">
        <v>2400</v>
      </c>
      <c r="K35" s="12">
        <f t="shared" si="1"/>
        <v>171.42857142857142</v>
      </c>
      <c r="L35" s="425">
        <v>14</v>
      </c>
      <c r="M35" s="13">
        <f t="shared" si="24"/>
        <v>2292.110091743119</v>
      </c>
      <c r="N35" s="12">
        <f t="shared" si="3"/>
        <v>163.72214941022278</v>
      </c>
      <c r="O35" s="14">
        <f t="shared" si="4"/>
        <v>0</v>
      </c>
      <c r="P35" s="15">
        <f t="shared" si="5"/>
        <v>-7.7064220183486327</v>
      </c>
      <c r="Q35" s="414">
        <f t="shared" si="6"/>
        <v>0.95504587155963294</v>
      </c>
      <c r="R35" s="615"/>
      <c r="S35" s="34">
        <v>0.43611111111111106</v>
      </c>
      <c r="T35" s="34">
        <v>0.51180555555555551</v>
      </c>
      <c r="U35" s="415">
        <f t="shared" si="26"/>
        <v>5.9999999999999787</v>
      </c>
      <c r="V35" s="426">
        <f t="shared" si="25"/>
        <v>109.00000000000001</v>
      </c>
      <c r="W35" s="16">
        <f>T35</f>
        <v>0.51180555555555551</v>
      </c>
      <c r="X35" s="16">
        <f>S36</f>
        <v>0.55069444444444438</v>
      </c>
      <c r="Y35" s="16"/>
      <c r="Z35" s="16"/>
      <c r="AA35" s="617"/>
      <c r="AB35" s="617"/>
      <c r="AC35" s="18"/>
      <c r="AD35" s="18"/>
      <c r="AE35" s="14">
        <f t="shared" si="8"/>
        <v>-107.88990825688097</v>
      </c>
      <c r="AF35" s="414">
        <f t="shared" si="9"/>
        <v>0.95504587155963294</v>
      </c>
      <c r="AG35" s="615"/>
    </row>
    <row r="36" spans="1:33" ht="15.75" customHeight="1">
      <c r="A36" s="641" t="s">
        <v>1993</v>
      </c>
      <c r="B36" s="29" t="s">
        <v>32</v>
      </c>
      <c r="C36" s="640" t="s">
        <v>33</v>
      </c>
      <c r="D36" s="640"/>
      <c r="E36" s="29">
        <v>31.29</v>
      </c>
      <c r="F36" s="427">
        <v>3282</v>
      </c>
      <c r="G36" s="415">
        <f t="shared" si="23"/>
        <v>102693.78</v>
      </c>
      <c r="H36" s="33" t="s">
        <v>57</v>
      </c>
      <c r="I36" s="425">
        <v>18</v>
      </c>
      <c r="J36" s="31">
        <v>2400</v>
      </c>
      <c r="K36" s="12">
        <f t="shared" si="1"/>
        <v>133.33333333333334</v>
      </c>
      <c r="L36" s="425">
        <v>18</v>
      </c>
      <c r="M36" s="13">
        <f t="shared" si="24"/>
        <v>2289.7674418604647</v>
      </c>
      <c r="N36" s="12">
        <f t="shared" si="3"/>
        <v>127.20930232558138</v>
      </c>
      <c r="O36" s="14">
        <f t="shared" si="4"/>
        <v>0</v>
      </c>
      <c r="P36" s="15">
        <f t="shared" si="5"/>
        <v>-6.1240310077519666</v>
      </c>
      <c r="Q36" s="414">
        <f t="shared" si="6"/>
        <v>0.95406976744186023</v>
      </c>
      <c r="R36" s="615"/>
      <c r="S36" s="34">
        <v>0.55069444444444438</v>
      </c>
      <c r="T36" s="34">
        <v>0.61041666666666661</v>
      </c>
      <c r="U36" s="415">
        <f t="shared" si="26"/>
        <v>55.999999999999957</v>
      </c>
      <c r="V36" s="426">
        <f t="shared" si="25"/>
        <v>86.000000000000014</v>
      </c>
      <c r="W36" s="16"/>
      <c r="X36" s="16"/>
      <c r="Y36" s="16"/>
      <c r="Z36" s="16"/>
      <c r="AA36" s="617"/>
      <c r="AB36" s="617"/>
      <c r="AC36" s="18"/>
      <c r="AD36" s="18"/>
      <c r="AE36" s="14">
        <f t="shared" si="8"/>
        <v>-110.23255813953529</v>
      </c>
      <c r="AF36" s="414">
        <f t="shared" si="9"/>
        <v>0.95406976744186034</v>
      </c>
      <c r="AG36" s="615"/>
    </row>
    <row r="37" spans="1:33" ht="15.75" customHeight="1">
      <c r="A37" s="641" t="s">
        <v>1993</v>
      </c>
      <c r="B37" s="29" t="s">
        <v>32</v>
      </c>
      <c r="C37" s="640" t="s">
        <v>34</v>
      </c>
      <c r="D37" s="640"/>
      <c r="E37" s="29">
        <v>26.37</v>
      </c>
      <c r="F37" s="427">
        <v>2393</v>
      </c>
      <c r="G37" s="415">
        <f t="shared" si="23"/>
        <v>63103.41</v>
      </c>
      <c r="H37" s="33" t="s">
        <v>57</v>
      </c>
      <c r="I37" s="425">
        <v>18</v>
      </c>
      <c r="J37" s="31">
        <v>2400</v>
      </c>
      <c r="K37" s="12">
        <f t="shared" si="1"/>
        <v>133.33333333333334</v>
      </c>
      <c r="L37" s="425">
        <v>18</v>
      </c>
      <c r="M37" s="13">
        <f t="shared" si="24"/>
        <v>2315.8064516129052</v>
      </c>
      <c r="N37" s="12">
        <f t="shared" si="3"/>
        <v>128.65591397849474</v>
      </c>
      <c r="O37" s="14">
        <f t="shared" si="4"/>
        <v>0</v>
      </c>
      <c r="P37" s="15">
        <f t="shared" si="5"/>
        <v>-4.6774193548386052</v>
      </c>
      <c r="Q37" s="414">
        <f t="shared" si="6"/>
        <v>0.9649193548387105</v>
      </c>
      <c r="R37" s="615"/>
      <c r="S37" s="34">
        <v>0.61597222222222214</v>
      </c>
      <c r="T37" s="34">
        <v>0.65902777777777766</v>
      </c>
      <c r="U37" s="415">
        <f t="shared" si="26"/>
        <v>7.9999999999999716</v>
      </c>
      <c r="V37" s="426">
        <f t="shared" si="25"/>
        <v>61.999999999999943</v>
      </c>
      <c r="W37" s="16"/>
      <c r="X37" s="16"/>
      <c r="Y37" s="16"/>
      <c r="Z37" s="16"/>
      <c r="AA37" s="617"/>
      <c r="AB37" s="617"/>
      <c r="AC37" s="18"/>
      <c r="AD37" s="18"/>
      <c r="AE37" s="14">
        <f t="shared" si="8"/>
        <v>-84.193548387094779</v>
      </c>
      <c r="AF37" s="414">
        <f t="shared" si="9"/>
        <v>0.9649193548387105</v>
      </c>
      <c r="AG37" s="615"/>
    </row>
    <row r="38" spans="1:33" ht="15.75" customHeight="1">
      <c r="A38" s="641" t="s">
        <v>1993</v>
      </c>
      <c r="B38" s="29" t="s">
        <v>32</v>
      </c>
      <c r="C38" s="423" t="s">
        <v>76</v>
      </c>
      <c r="D38" s="424"/>
      <c r="E38" s="29">
        <v>26.18</v>
      </c>
      <c r="F38" s="427">
        <v>2919</v>
      </c>
      <c r="G38" s="415">
        <f t="shared" si="23"/>
        <v>76419.42</v>
      </c>
      <c r="H38" s="33" t="s">
        <v>57</v>
      </c>
      <c r="I38" s="425">
        <v>18</v>
      </c>
      <c r="J38" s="31">
        <v>2400</v>
      </c>
      <c r="K38" s="12">
        <f t="shared" si="1"/>
        <v>133.33333333333334</v>
      </c>
      <c r="L38" s="425">
        <v>18</v>
      </c>
      <c r="M38" s="13">
        <f t="shared" si="24"/>
        <v>2304.4736842105244</v>
      </c>
      <c r="N38" s="12">
        <f t="shared" si="3"/>
        <v>128.02631578947359</v>
      </c>
      <c r="O38" s="14">
        <f t="shared" si="4"/>
        <v>0</v>
      </c>
      <c r="P38" s="15">
        <f t="shared" si="5"/>
        <v>-5.3070175438597573</v>
      </c>
      <c r="Q38" s="414">
        <f t="shared" si="6"/>
        <v>0.96019736842105186</v>
      </c>
      <c r="R38" s="615"/>
      <c r="S38" s="34">
        <v>0.66388888888888875</v>
      </c>
      <c r="T38" s="34">
        <v>0.71666666666666656</v>
      </c>
      <c r="U38" s="415">
        <f t="shared" si="26"/>
        <v>6.9999999999999751</v>
      </c>
      <c r="V38" s="426">
        <f t="shared" si="25"/>
        <v>76.000000000000057</v>
      </c>
      <c r="W38" s="16"/>
      <c r="X38" s="16"/>
      <c r="Y38" s="16"/>
      <c r="Z38" s="16"/>
      <c r="AA38" s="421"/>
      <c r="AB38" s="422"/>
      <c r="AC38" s="18"/>
      <c r="AD38" s="18"/>
      <c r="AE38" s="14">
        <f t="shared" si="8"/>
        <v>-95.526315789475575</v>
      </c>
      <c r="AF38" s="414">
        <f t="shared" si="9"/>
        <v>0.96019736842105186</v>
      </c>
      <c r="AG38" s="615"/>
    </row>
    <row r="39" spans="1:33" ht="15.75" customHeight="1">
      <c r="A39" s="641" t="s">
        <v>1993</v>
      </c>
      <c r="B39" s="29" t="s">
        <v>1989</v>
      </c>
      <c r="C39" s="618"/>
      <c r="D39" s="618"/>
      <c r="E39" s="417"/>
      <c r="F39" s="427"/>
      <c r="G39" s="415"/>
      <c r="H39" s="427"/>
      <c r="I39" s="23">
        <v>17.5</v>
      </c>
      <c r="J39" s="31">
        <v>2400</v>
      </c>
      <c r="K39" s="12">
        <f t="shared" si="1"/>
        <v>137.14285714285714</v>
      </c>
      <c r="L39" s="23">
        <v>17.5</v>
      </c>
      <c r="M39" s="13">
        <f>AVERAGE(M31:M38)</f>
        <v>2297.8377803017852</v>
      </c>
      <c r="N39" s="12">
        <f t="shared" si="3"/>
        <v>131.30501601724487</v>
      </c>
      <c r="O39" s="14">
        <f t="shared" si="4"/>
        <v>0</v>
      </c>
      <c r="P39" s="15">
        <f t="shared" si="5"/>
        <v>-5.8378411256122718</v>
      </c>
      <c r="Q39" s="414">
        <f t="shared" si="6"/>
        <v>0.95743240845907718</v>
      </c>
      <c r="R39" s="615"/>
      <c r="S39" s="34"/>
      <c r="T39" s="34"/>
      <c r="U39" s="415"/>
      <c r="V39" s="426"/>
      <c r="W39" s="415"/>
      <c r="X39" s="415"/>
      <c r="Y39" s="24">
        <f>SUM(Y31:Y38)</f>
        <v>0</v>
      </c>
      <c r="Z39" s="24">
        <f>SUM(Z31:Z38)</f>
        <v>0</v>
      </c>
      <c r="AA39" s="614"/>
      <c r="AB39" s="614"/>
      <c r="AC39" s="24">
        <v>8</v>
      </c>
      <c r="AD39" s="24">
        <f>SUM(AD31:AD38)</f>
        <v>0</v>
      </c>
      <c r="AE39" s="14">
        <f t="shared" si="8"/>
        <v>-102.16221969821481</v>
      </c>
      <c r="AF39" s="414">
        <f t="shared" si="9"/>
        <v>0.95743240845907718</v>
      </c>
      <c r="AG39" s="615"/>
    </row>
    <row r="40" spans="1:33" ht="15.75" customHeight="1">
      <c r="A40" s="638" t="s">
        <v>1994</v>
      </c>
      <c r="B40" s="29" t="s">
        <v>32</v>
      </c>
      <c r="C40" s="616" t="s">
        <v>77</v>
      </c>
      <c r="D40" s="616"/>
      <c r="E40" s="29">
        <v>26.18</v>
      </c>
      <c r="F40" s="427">
        <v>3900</v>
      </c>
      <c r="G40" s="415">
        <f t="shared" ref="G40:G47" si="27">E40*F40</f>
        <v>102102</v>
      </c>
      <c r="H40" s="33">
        <v>2</v>
      </c>
      <c r="I40" s="425">
        <v>20</v>
      </c>
      <c r="J40" s="31">
        <v>2400</v>
      </c>
      <c r="K40" s="12">
        <f t="shared" si="1"/>
        <v>120</v>
      </c>
      <c r="L40" s="425">
        <v>20</v>
      </c>
      <c r="M40" s="13">
        <f t="shared" ref="M40:M47" si="28">F40/V40*60</f>
        <v>2294.117647058823</v>
      </c>
      <c r="N40" s="12">
        <f t="shared" si="3"/>
        <v>114.70588235294115</v>
      </c>
      <c r="O40" s="14">
        <f t="shared" si="4"/>
        <v>0</v>
      </c>
      <c r="P40" s="15">
        <f t="shared" si="5"/>
        <v>-5.2941176470588545</v>
      </c>
      <c r="Q40" s="414">
        <f t="shared" si="6"/>
        <v>0.95588235294117618</v>
      </c>
      <c r="R40" s="615">
        <f>Q48</f>
        <v>0.95493781253785881</v>
      </c>
      <c r="S40" s="34">
        <v>8.3333333333333329E-2</v>
      </c>
      <c r="T40" s="34">
        <v>0.15416666666666667</v>
      </c>
      <c r="U40" s="415"/>
      <c r="V40" s="426">
        <f t="shared" ref="V40:V47" si="29">(T40-S40)*24*60</f>
        <v>102.00000000000001</v>
      </c>
      <c r="W40" s="21">
        <f>T40</f>
        <v>0.15416666666666667</v>
      </c>
      <c r="X40" s="21">
        <f>S41</f>
        <v>0.17430555555555557</v>
      </c>
      <c r="Y40" s="21"/>
      <c r="Z40" s="21"/>
      <c r="AA40" s="617"/>
      <c r="AB40" s="617"/>
      <c r="AC40" s="18">
        <v>8</v>
      </c>
      <c r="AD40" s="18"/>
      <c r="AE40" s="14">
        <f t="shared" si="8"/>
        <v>-105.88235294117703</v>
      </c>
      <c r="AF40" s="414">
        <f t="shared" si="9"/>
        <v>0.95588235294117618</v>
      </c>
      <c r="AG40" s="615">
        <f>AF48</f>
        <v>0.95493781253785881</v>
      </c>
    </row>
    <row r="41" spans="1:33" ht="15.75" customHeight="1">
      <c r="A41" s="638" t="s">
        <v>1994</v>
      </c>
      <c r="B41" s="29" t="s">
        <v>32</v>
      </c>
      <c r="C41" s="616" t="s">
        <v>37</v>
      </c>
      <c r="D41" s="616"/>
      <c r="E41" s="29">
        <v>24.43</v>
      </c>
      <c r="F41" s="427">
        <v>4200</v>
      </c>
      <c r="G41" s="415">
        <f t="shared" si="27"/>
        <v>102606</v>
      </c>
      <c r="H41" s="33">
        <v>2</v>
      </c>
      <c r="I41" s="425">
        <v>14</v>
      </c>
      <c r="J41" s="31">
        <v>2400</v>
      </c>
      <c r="K41" s="12">
        <f t="shared" si="1"/>
        <v>171.42857142857142</v>
      </c>
      <c r="L41" s="425">
        <v>14</v>
      </c>
      <c r="M41" s="13">
        <f t="shared" si="28"/>
        <v>2290.9090909090914</v>
      </c>
      <c r="N41" s="12">
        <f t="shared" si="3"/>
        <v>163.63636363636368</v>
      </c>
      <c r="O41" s="14">
        <f t="shared" si="4"/>
        <v>0</v>
      </c>
      <c r="P41" s="15">
        <f t="shared" si="5"/>
        <v>-7.7922077922077335</v>
      </c>
      <c r="Q41" s="414">
        <f t="shared" si="6"/>
        <v>0.95454545454545492</v>
      </c>
      <c r="R41" s="615"/>
      <c r="S41" s="34">
        <v>0.17430555555555557</v>
      </c>
      <c r="T41" s="34">
        <v>0.25069444444444444</v>
      </c>
      <c r="U41" s="415">
        <f t="shared" ref="U41:U47" si="30">(S41-T40)*24*60</f>
        <v>29.000000000000018</v>
      </c>
      <c r="V41" s="426">
        <f t="shared" si="29"/>
        <v>109.99999999999997</v>
      </c>
      <c r="W41" s="415"/>
      <c r="X41" s="415"/>
      <c r="Y41" s="415"/>
      <c r="Z41" s="415"/>
      <c r="AA41" s="617"/>
      <c r="AB41" s="617"/>
      <c r="AC41" s="18"/>
      <c r="AD41" s="18"/>
      <c r="AE41" s="14">
        <f t="shared" si="8"/>
        <v>-109.09090909090855</v>
      </c>
      <c r="AF41" s="414">
        <f t="shared" si="9"/>
        <v>0.95454545454545481</v>
      </c>
      <c r="AG41" s="615"/>
    </row>
    <row r="42" spans="1:33">
      <c r="A42" s="639" t="s">
        <v>1994</v>
      </c>
      <c r="B42" s="29" t="s">
        <v>32</v>
      </c>
      <c r="C42" s="616" t="s">
        <v>38</v>
      </c>
      <c r="D42" s="616"/>
      <c r="E42" s="29">
        <v>25.98</v>
      </c>
      <c r="F42" s="427">
        <v>3080</v>
      </c>
      <c r="G42" s="415">
        <f t="shared" si="27"/>
        <v>80018.399999999994</v>
      </c>
      <c r="H42" s="33" t="s">
        <v>57</v>
      </c>
      <c r="I42" s="425">
        <v>21</v>
      </c>
      <c r="J42" s="31">
        <v>2400</v>
      </c>
      <c r="K42" s="12">
        <f t="shared" si="1"/>
        <v>114.28571428571429</v>
      </c>
      <c r="L42" s="425">
        <v>21</v>
      </c>
      <c r="M42" s="13">
        <f t="shared" si="28"/>
        <v>2281.4814814814804</v>
      </c>
      <c r="N42" s="12">
        <f t="shared" si="3"/>
        <v>108.64197530864192</v>
      </c>
      <c r="O42" s="14">
        <f t="shared" si="4"/>
        <v>0</v>
      </c>
      <c r="P42" s="15">
        <f t="shared" si="5"/>
        <v>-5.643738977072374</v>
      </c>
      <c r="Q42" s="414">
        <f t="shared" si="6"/>
        <v>0.95061728395061673</v>
      </c>
      <c r="R42" s="615"/>
      <c r="S42" s="34">
        <v>0.25416666666666665</v>
      </c>
      <c r="T42" s="34">
        <v>0.31041666666666667</v>
      </c>
      <c r="U42" s="415">
        <f t="shared" si="30"/>
        <v>4.9999999999999822</v>
      </c>
      <c r="V42" s="426">
        <f t="shared" si="29"/>
        <v>81.000000000000028</v>
      </c>
      <c r="W42" s="415"/>
      <c r="X42" s="415"/>
      <c r="Y42" s="415"/>
      <c r="Z42" s="415"/>
      <c r="AA42" s="617"/>
      <c r="AB42" s="617"/>
      <c r="AC42" s="18"/>
      <c r="AD42" s="18"/>
      <c r="AE42" s="14">
        <f t="shared" si="8"/>
        <v>-118.51851851851961</v>
      </c>
      <c r="AF42" s="414">
        <f t="shared" si="9"/>
        <v>0.95061728395061684</v>
      </c>
      <c r="AG42" s="615"/>
    </row>
    <row r="43" spans="1:33">
      <c r="A43" s="639" t="s">
        <v>1994</v>
      </c>
      <c r="B43" s="29" t="s">
        <v>32</v>
      </c>
      <c r="C43" s="616" t="s">
        <v>39</v>
      </c>
      <c r="D43" s="616"/>
      <c r="E43" s="29">
        <v>34.1</v>
      </c>
      <c r="F43" s="427">
        <v>4000</v>
      </c>
      <c r="G43" s="415">
        <f t="shared" si="27"/>
        <v>136400</v>
      </c>
      <c r="H43" s="33">
        <v>2</v>
      </c>
      <c r="I43" s="425">
        <v>17</v>
      </c>
      <c r="J43" s="31">
        <v>1600</v>
      </c>
      <c r="K43" s="12">
        <f t="shared" si="1"/>
        <v>94.117647058823536</v>
      </c>
      <c r="L43" s="425">
        <v>17</v>
      </c>
      <c r="M43" s="13">
        <f t="shared" si="28"/>
        <v>1528.6624203821657</v>
      </c>
      <c r="N43" s="12">
        <f t="shared" si="3"/>
        <v>89.92131884600974</v>
      </c>
      <c r="O43" s="14">
        <f t="shared" si="4"/>
        <v>0</v>
      </c>
      <c r="P43" s="15">
        <f t="shared" si="5"/>
        <v>-4.1963282128137962</v>
      </c>
      <c r="Q43" s="414">
        <f t="shared" si="6"/>
        <v>0.9554140127388534</v>
      </c>
      <c r="R43" s="615"/>
      <c r="S43" s="34">
        <v>0.31388888888888888</v>
      </c>
      <c r="T43" s="34">
        <v>0.42291666666666666</v>
      </c>
      <c r="U43" s="415">
        <f t="shared" si="30"/>
        <v>4.9999999999999822</v>
      </c>
      <c r="V43" s="426">
        <f t="shared" si="29"/>
        <v>157</v>
      </c>
      <c r="W43" s="16"/>
      <c r="X43" s="16"/>
      <c r="Y43" s="16"/>
      <c r="Z43" s="16"/>
      <c r="AA43" s="617"/>
      <c r="AB43" s="617"/>
      <c r="AC43" s="18"/>
      <c r="AD43" s="18"/>
      <c r="AE43" s="14">
        <f t="shared" si="8"/>
        <v>-71.337579617834308</v>
      </c>
      <c r="AF43" s="414">
        <f t="shared" si="9"/>
        <v>0.95541401273885351</v>
      </c>
      <c r="AG43" s="615"/>
    </row>
    <row r="44" spans="1:33">
      <c r="A44" s="639" t="s">
        <v>1994</v>
      </c>
      <c r="B44" s="29" t="s">
        <v>32</v>
      </c>
      <c r="C44" s="616" t="s">
        <v>84</v>
      </c>
      <c r="D44" s="616"/>
      <c r="E44" s="29">
        <v>20.21</v>
      </c>
      <c r="F44" s="427">
        <v>3674</v>
      </c>
      <c r="G44" s="415">
        <f t="shared" si="27"/>
        <v>74251.540000000008</v>
      </c>
      <c r="H44" s="33" t="s">
        <v>57</v>
      </c>
      <c r="I44" s="425">
        <v>18</v>
      </c>
      <c r="J44" s="31">
        <v>2400</v>
      </c>
      <c r="K44" s="12">
        <f t="shared" si="1"/>
        <v>133.33333333333334</v>
      </c>
      <c r="L44" s="425">
        <v>18</v>
      </c>
      <c r="M44" s="13">
        <f t="shared" si="28"/>
        <v>2296.2500000000005</v>
      </c>
      <c r="N44" s="12">
        <f t="shared" si="3"/>
        <v>127.56944444444447</v>
      </c>
      <c r="O44" s="14">
        <f t="shared" si="4"/>
        <v>0</v>
      </c>
      <c r="P44" s="15">
        <f t="shared" si="5"/>
        <v>-5.7638888888888715</v>
      </c>
      <c r="Q44" s="414">
        <f t="shared" si="6"/>
        <v>0.95677083333333346</v>
      </c>
      <c r="R44" s="615"/>
      <c r="S44" s="34">
        <v>0.42777777777777776</v>
      </c>
      <c r="T44" s="34">
        <v>0.49444444444444441</v>
      </c>
      <c r="U44" s="415">
        <f t="shared" si="30"/>
        <v>6.9999999999999751</v>
      </c>
      <c r="V44" s="426">
        <f t="shared" si="29"/>
        <v>95.999999999999972</v>
      </c>
      <c r="W44" s="16">
        <f>T44</f>
        <v>0.49444444444444441</v>
      </c>
      <c r="X44" s="16">
        <f>S45</f>
        <v>0.53541666666666654</v>
      </c>
      <c r="Y44" s="16"/>
      <c r="Z44" s="16"/>
      <c r="AA44" s="617"/>
      <c r="AB44" s="617"/>
      <c r="AC44" s="18"/>
      <c r="AD44" s="18"/>
      <c r="AE44" s="14">
        <f t="shared" si="8"/>
        <v>-103.74999999999955</v>
      </c>
      <c r="AF44" s="414">
        <f t="shared" si="9"/>
        <v>0.95677083333333357</v>
      </c>
      <c r="AG44" s="615"/>
    </row>
    <row r="45" spans="1:33">
      <c r="A45" s="639" t="s">
        <v>1994</v>
      </c>
      <c r="B45" s="29" t="s">
        <v>32</v>
      </c>
      <c r="C45" s="616" t="s">
        <v>77</v>
      </c>
      <c r="D45" s="616"/>
      <c r="E45" s="29">
        <v>26.18</v>
      </c>
      <c r="F45" s="427">
        <v>2254</v>
      </c>
      <c r="G45" s="415">
        <f t="shared" si="27"/>
        <v>59009.72</v>
      </c>
      <c r="H45" s="33" t="s">
        <v>57</v>
      </c>
      <c r="I45" s="425">
        <v>20</v>
      </c>
      <c r="J45" s="31">
        <v>2400</v>
      </c>
      <c r="K45" s="12">
        <f t="shared" si="1"/>
        <v>120</v>
      </c>
      <c r="L45" s="425">
        <v>20</v>
      </c>
      <c r="M45" s="13">
        <f t="shared" si="28"/>
        <v>2292.2033898305103</v>
      </c>
      <c r="N45" s="12">
        <f t="shared" si="3"/>
        <v>114.61016949152551</v>
      </c>
      <c r="O45" s="14">
        <f t="shared" si="4"/>
        <v>0</v>
      </c>
      <c r="P45" s="15">
        <f t="shared" si="5"/>
        <v>-5.3898305084744891</v>
      </c>
      <c r="Q45" s="414">
        <f t="shared" si="6"/>
        <v>0.95508474576271263</v>
      </c>
      <c r="R45" s="615"/>
      <c r="S45" s="34">
        <v>0.53541666666666654</v>
      </c>
      <c r="T45" s="34">
        <v>0.57638888888888873</v>
      </c>
      <c r="U45" s="415">
        <f t="shared" si="30"/>
        <v>58.999999999999872</v>
      </c>
      <c r="V45" s="426">
        <f t="shared" si="29"/>
        <v>58.99999999999995</v>
      </c>
      <c r="W45" s="16"/>
      <c r="X45" s="16"/>
      <c r="Y45" s="16"/>
      <c r="Z45" s="16"/>
      <c r="AA45" s="617"/>
      <c r="AB45" s="617"/>
      <c r="AC45" s="18"/>
      <c r="AD45" s="18"/>
      <c r="AE45" s="14">
        <f t="shared" si="8"/>
        <v>-107.79661016948967</v>
      </c>
      <c r="AF45" s="414">
        <f t="shared" si="9"/>
        <v>0.95508474576271263</v>
      </c>
      <c r="AG45" s="615"/>
    </row>
    <row r="46" spans="1:33">
      <c r="A46" s="639" t="s">
        <v>1994</v>
      </c>
      <c r="B46" s="29" t="s">
        <v>32</v>
      </c>
      <c r="C46" s="616" t="s">
        <v>37</v>
      </c>
      <c r="D46" s="616"/>
      <c r="E46" s="29">
        <v>24.43</v>
      </c>
      <c r="F46" s="427">
        <v>2680</v>
      </c>
      <c r="G46" s="415">
        <f t="shared" si="27"/>
        <v>65472.4</v>
      </c>
      <c r="H46" s="33" t="s">
        <v>57</v>
      </c>
      <c r="I46" s="425">
        <v>14</v>
      </c>
      <c r="J46" s="31">
        <v>2400</v>
      </c>
      <c r="K46" s="12">
        <f t="shared" si="1"/>
        <v>171.42857142857142</v>
      </c>
      <c r="L46" s="425">
        <v>14</v>
      </c>
      <c r="M46" s="13">
        <f t="shared" si="28"/>
        <v>2297.1428571428551</v>
      </c>
      <c r="N46" s="12">
        <f t="shared" si="3"/>
        <v>164.08163265306106</v>
      </c>
      <c r="O46" s="14">
        <f t="shared" si="4"/>
        <v>0</v>
      </c>
      <c r="P46" s="15">
        <f t="shared" si="5"/>
        <v>-7.3469387755103526</v>
      </c>
      <c r="Q46" s="414">
        <f t="shared" si="6"/>
        <v>0.9571428571428563</v>
      </c>
      <c r="R46" s="615"/>
      <c r="S46" s="34">
        <v>0.57986111111111094</v>
      </c>
      <c r="T46" s="34">
        <v>0.6284722222222221</v>
      </c>
      <c r="U46" s="415">
        <f t="shared" si="30"/>
        <v>4.9999999999999822</v>
      </c>
      <c r="V46" s="426">
        <f t="shared" si="29"/>
        <v>70.000000000000071</v>
      </c>
      <c r="W46" s="16"/>
      <c r="X46" s="16"/>
      <c r="Y46" s="19"/>
      <c r="Z46" s="19"/>
      <c r="AA46" s="624"/>
      <c r="AB46" s="625"/>
      <c r="AC46" s="18"/>
      <c r="AD46" s="18"/>
      <c r="AE46" s="14">
        <f t="shared" si="8"/>
        <v>-102.85714285714494</v>
      </c>
      <c r="AF46" s="414">
        <f t="shared" si="9"/>
        <v>0.9571428571428563</v>
      </c>
      <c r="AG46" s="615"/>
    </row>
    <row r="47" spans="1:33">
      <c r="A47" s="639" t="s">
        <v>1994</v>
      </c>
      <c r="B47" s="29" t="s">
        <v>32</v>
      </c>
      <c r="C47" s="616" t="s">
        <v>39</v>
      </c>
      <c r="D47" s="616"/>
      <c r="E47" s="29">
        <v>34.1</v>
      </c>
      <c r="F47" s="427">
        <v>2569</v>
      </c>
      <c r="G47" s="415">
        <f t="shared" si="27"/>
        <v>87602.900000000009</v>
      </c>
      <c r="H47" s="33" t="s">
        <v>57</v>
      </c>
      <c r="I47" s="425">
        <v>17</v>
      </c>
      <c r="J47" s="31">
        <v>1600</v>
      </c>
      <c r="K47" s="12">
        <f t="shared" si="1"/>
        <v>94.117647058823536</v>
      </c>
      <c r="L47" s="425">
        <v>17</v>
      </c>
      <c r="M47" s="13">
        <f t="shared" si="28"/>
        <v>1526.1386138613868</v>
      </c>
      <c r="N47" s="12">
        <f t="shared" si="3"/>
        <v>89.772859638905103</v>
      </c>
      <c r="O47" s="14">
        <f t="shared" si="4"/>
        <v>0</v>
      </c>
      <c r="P47" s="15">
        <f t="shared" si="5"/>
        <v>-4.3447874199184326</v>
      </c>
      <c r="Q47" s="414">
        <f t="shared" si="6"/>
        <v>0.95383663366336668</v>
      </c>
      <c r="R47" s="615"/>
      <c r="S47" s="34">
        <v>0.63402777777777763</v>
      </c>
      <c r="T47" s="34">
        <v>0.7041666666666665</v>
      </c>
      <c r="U47" s="415">
        <f t="shared" si="30"/>
        <v>7.9999999999999716</v>
      </c>
      <c r="V47" s="426">
        <f t="shared" si="29"/>
        <v>100.99999999999996</v>
      </c>
      <c r="W47" s="16"/>
      <c r="X47" s="16"/>
      <c r="Y47" s="19"/>
      <c r="Z47" s="19"/>
      <c r="AA47" s="624"/>
      <c r="AB47" s="625"/>
      <c r="AC47" s="18"/>
      <c r="AD47" s="18"/>
      <c r="AE47" s="14">
        <f t="shared" si="8"/>
        <v>-73.86138613861317</v>
      </c>
      <c r="AF47" s="414">
        <f t="shared" si="9"/>
        <v>0.9538366336633668</v>
      </c>
      <c r="AG47" s="615"/>
    </row>
    <row r="48" spans="1:33">
      <c r="A48" s="639" t="s">
        <v>1994</v>
      </c>
      <c r="B48" s="30" t="s">
        <v>1989</v>
      </c>
      <c r="C48" s="618"/>
      <c r="D48" s="618"/>
      <c r="E48" s="417"/>
      <c r="F48" s="30"/>
      <c r="G48" s="12"/>
      <c r="H48" s="427"/>
      <c r="I48" s="23">
        <v>17.625</v>
      </c>
      <c r="J48" s="31">
        <v>2200</v>
      </c>
      <c r="K48" s="12">
        <f t="shared" si="1"/>
        <v>124.822695035461</v>
      </c>
      <c r="L48" s="23">
        <v>17.625</v>
      </c>
      <c r="M48" s="13">
        <f>AVERAGE(M40:M47)</f>
        <v>2100.8631875832893</v>
      </c>
      <c r="N48" s="12">
        <f t="shared" si="3"/>
        <v>119.19791135224337</v>
      </c>
      <c r="O48" s="14">
        <f t="shared" si="4"/>
        <v>0</v>
      </c>
      <c r="P48" s="15">
        <f t="shared" si="5"/>
        <v>-5.624783683217629</v>
      </c>
      <c r="Q48" s="414">
        <f t="shared" si="6"/>
        <v>0.95493781253785881</v>
      </c>
      <c r="R48" s="615"/>
      <c r="S48" s="34"/>
      <c r="T48" s="34"/>
      <c r="U48" s="12"/>
      <c r="V48" s="426"/>
      <c r="W48" s="12"/>
      <c r="X48" s="12"/>
      <c r="Y48" s="24">
        <f>SUM(Y40:Y47)</f>
        <v>0</v>
      </c>
      <c r="Z48" s="24">
        <f>SUM(Z40:Z47)</f>
        <v>0</v>
      </c>
      <c r="AA48" s="614"/>
      <c r="AB48" s="614"/>
      <c r="AC48" s="24">
        <v>8</v>
      </c>
      <c r="AD48" s="24">
        <f>SUM(AD40:AD47)</f>
        <v>0</v>
      </c>
      <c r="AE48" s="14">
        <f t="shared" si="8"/>
        <v>-99.136812416710654</v>
      </c>
      <c r="AF48" s="414">
        <f t="shared" si="9"/>
        <v>0.95493781253785881</v>
      </c>
      <c r="AG48" s="615"/>
    </row>
    <row r="49" spans="1:33" ht="15.75" customHeight="1">
      <c r="A49" s="632" t="s">
        <v>1995</v>
      </c>
      <c r="B49" s="29" t="s">
        <v>40</v>
      </c>
      <c r="C49" s="622" t="s">
        <v>41</v>
      </c>
      <c r="D49" s="623"/>
      <c r="E49" s="29">
        <v>37.880000000000003</v>
      </c>
      <c r="F49" s="427">
        <v>684</v>
      </c>
      <c r="G49" s="415">
        <f t="shared" ref="G49:G52" si="31">E49*F49</f>
        <v>25909.920000000002</v>
      </c>
      <c r="H49" s="33" t="s">
        <v>57</v>
      </c>
      <c r="I49" s="425">
        <v>13</v>
      </c>
      <c r="J49" s="31">
        <v>2000</v>
      </c>
      <c r="K49" s="12">
        <f t="shared" si="1"/>
        <v>153.84615384615384</v>
      </c>
      <c r="L49" s="425">
        <v>13</v>
      </c>
      <c r="M49" s="13">
        <f t="shared" ref="M49:M52" si="32">F49/V49*60</f>
        <v>1954.2857142857138</v>
      </c>
      <c r="N49" s="13">
        <f t="shared" si="3"/>
        <v>150.32967032967028</v>
      </c>
      <c r="O49" s="14">
        <f t="shared" si="4"/>
        <v>0</v>
      </c>
      <c r="P49" s="15">
        <f t="shared" si="5"/>
        <v>-3.5164835164835608</v>
      </c>
      <c r="Q49" s="414">
        <f t="shared" si="6"/>
        <v>0.97714285714285687</v>
      </c>
      <c r="R49" s="635">
        <f>Q53</f>
        <v>0.95819931565263783</v>
      </c>
      <c r="S49" s="34">
        <v>8.3333333333333329E-2</v>
      </c>
      <c r="T49" s="34">
        <v>9.7916666666666666E-2</v>
      </c>
      <c r="U49" s="21"/>
      <c r="V49" s="426">
        <f t="shared" ref="V49:V52" si="33">(T49-S49)*24*60</f>
        <v>21.000000000000007</v>
      </c>
      <c r="W49" s="16">
        <f>T49</f>
        <v>9.7916666666666666E-2</v>
      </c>
      <c r="X49" s="16">
        <f>S50</f>
        <v>0.11736111111111111</v>
      </c>
      <c r="Y49" s="19"/>
      <c r="Z49" s="19"/>
      <c r="AA49" s="624"/>
      <c r="AB49" s="625"/>
      <c r="AC49" s="18">
        <v>4</v>
      </c>
      <c r="AD49" s="18"/>
      <c r="AE49" s="14">
        <f t="shared" si="8"/>
        <v>-45.714285714286234</v>
      </c>
      <c r="AF49" s="414">
        <f t="shared" si="9"/>
        <v>0.97714285714285687</v>
      </c>
      <c r="AG49" s="635">
        <f>AF53</f>
        <v>0.95819931565263783</v>
      </c>
    </row>
    <row r="50" spans="1:33" ht="15.75" customHeight="1">
      <c r="A50" s="633" t="s">
        <v>1995</v>
      </c>
      <c r="B50" s="29" t="s">
        <v>40</v>
      </c>
      <c r="C50" s="622" t="s">
        <v>42</v>
      </c>
      <c r="D50" s="623"/>
      <c r="E50" s="29">
        <v>35.119999999999997</v>
      </c>
      <c r="F50" s="427">
        <v>5846</v>
      </c>
      <c r="G50" s="415">
        <f t="shared" si="31"/>
        <v>205311.52</v>
      </c>
      <c r="H50" s="33" t="s">
        <v>57</v>
      </c>
      <c r="I50" s="425">
        <v>10</v>
      </c>
      <c r="J50" s="31">
        <v>3000</v>
      </c>
      <c r="K50" s="12">
        <f t="shared" si="1"/>
        <v>300</v>
      </c>
      <c r="L50" s="425">
        <v>10</v>
      </c>
      <c r="M50" s="13">
        <f t="shared" si="32"/>
        <v>2851.707317073171</v>
      </c>
      <c r="N50" s="13">
        <f t="shared" si="3"/>
        <v>285.17073170731709</v>
      </c>
      <c r="O50" s="14">
        <f t="shared" si="4"/>
        <v>0</v>
      </c>
      <c r="P50" s="15">
        <f t="shared" si="5"/>
        <v>-14.829268292682912</v>
      </c>
      <c r="Q50" s="414">
        <f t="shared" si="6"/>
        <v>0.95056910569105701</v>
      </c>
      <c r="R50" s="636"/>
      <c r="S50" s="34">
        <v>0.11736111111111111</v>
      </c>
      <c r="T50" s="34">
        <v>0.20277777777777778</v>
      </c>
      <c r="U50" s="415">
        <f t="shared" ref="U50:U52" si="34">(S50-T49)*24*60</f>
        <v>28</v>
      </c>
      <c r="V50" s="426">
        <f t="shared" si="33"/>
        <v>122.99999999999999</v>
      </c>
      <c r="W50" s="16"/>
      <c r="X50" s="16"/>
      <c r="Y50" s="19"/>
      <c r="Z50" s="19"/>
      <c r="AA50" s="624"/>
      <c r="AB50" s="625"/>
      <c r="AC50" s="18"/>
      <c r="AD50" s="18"/>
      <c r="AE50" s="14">
        <f t="shared" si="8"/>
        <v>-148.292682926829</v>
      </c>
      <c r="AF50" s="414">
        <f t="shared" si="9"/>
        <v>0.95056910569105701</v>
      </c>
      <c r="AG50" s="636"/>
    </row>
    <row r="51" spans="1:33" ht="15.75" customHeight="1">
      <c r="A51" s="633" t="s">
        <v>1995</v>
      </c>
      <c r="B51" s="29" t="s">
        <v>40</v>
      </c>
      <c r="C51" s="622" t="s">
        <v>43</v>
      </c>
      <c r="D51" s="623"/>
      <c r="E51" s="29">
        <v>21.13</v>
      </c>
      <c r="F51" s="427">
        <v>5304</v>
      </c>
      <c r="G51" s="415">
        <f t="shared" si="31"/>
        <v>112073.51999999999</v>
      </c>
      <c r="H51" s="33" t="s">
        <v>57</v>
      </c>
      <c r="I51" s="425">
        <v>10</v>
      </c>
      <c r="J51" s="31">
        <v>3000</v>
      </c>
      <c r="K51" s="12">
        <f t="shared" si="1"/>
        <v>300</v>
      </c>
      <c r="L51" s="425">
        <v>10</v>
      </c>
      <c r="M51" s="13">
        <f t="shared" si="32"/>
        <v>2867.027027027028</v>
      </c>
      <c r="N51" s="13">
        <f t="shared" si="3"/>
        <v>286.70270270270282</v>
      </c>
      <c r="O51" s="14">
        <f t="shared" si="4"/>
        <v>0</v>
      </c>
      <c r="P51" s="15">
        <f t="shared" si="5"/>
        <v>-13.297297297297177</v>
      </c>
      <c r="Q51" s="414">
        <f t="shared" si="6"/>
        <v>0.95567567567567613</v>
      </c>
      <c r="R51" s="636"/>
      <c r="S51" s="34">
        <v>0.20694444444444446</v>
      </c>
      <c r="T51" s="34">
        <v>0.28402777777777777</v>
      </c>
      <c r="U51" s="415">
        <f t="shared" si="34"/>
        <v>6.0000000000000187</v>
      </c>
      <c r="V51" s="426">
        <f t="shared" si="33"/>
        <v>110.99999999999997</v>
      </c>
      <c r="W51" s="16"/>
      <c r="X51" s="16"/>
      <c r="Y51" s="19"/>
      <c r="Z51" s="19"/>
      <c r="AA51" s="624"/>
      <c r="AB51" s="625"/>
      <c r="AC51" s="18"/>
      <c r="AD51" s="18"/>
      <c r="AE51" s="14">
        <f t="shared" si="8"/>
        <v>-132.972972972972</v>
      </c>
      <c r="AF51" s="414">
        <f t="shared" si="9"/>
        <v>0.95567567567567602</v>
      </c>
      <c r="AG51" s="636"/>
    </row>
    <row r="52" spans="1:33" ht="15.75" customHeight="1">
      <c r="A52" s="633" t="s">
        <v>1995</v>
      </c>
      <c r="B52" s="29" t="s">
        <v>40</v>
      </c>
      <c r="C52" s="622" t="s">
        <v>44</v>
      </c>
      <c r="D52" s="623"/>
      <c r="E52" s="29">
        <v>27.17</v>
      </c>
      <c r="F52" s="427">
        <v>6929</v>
      </c>
      <c r="G52" s="415">
        <f t="shared" si="31"/>
        <v>188260.93000000002</v>
      </c>
      <c r="H52" s="33" t="s">
        <v>57</v>
      </c>
      <c r="I52" s="425">
        <v>10</v>
      </c>
      <c r="J52" s="31">
        <v>3000</v>
      </c>
      <c r="K52" s="12">
        <f t="shared" si="1"/>
        <v>300</v>
      </c>
      <c r="L52" s="425">
        <v>10</v>
      </c>
      <c r="M52" s="13">
        <f t="shared" si="32"/>
        <v>2867.1724137931042</v>
      </c>
      <c r="N52" s="13">
        <f t="shared" si="3"/>
        <v>286.71724137931039</v>
      </c>
      <c r="O52" s="14">
        <f t="shared" si="4"/>
        <v>0</v>
      </c>
      <c r="P52" s="15">
        <f t="shared" si="5"/>
        <v>-13.282758620689606</v>
      </c>
      <c r="Q52" s="414">
        <f t="shared" si="6"/>
        <v>0.95572413793103461</v>
      </c>
      <c r="R52" s="636"/>
      <c r="S52" s="34">
        <v>0.2895833333333333</v>
      </c>
      <c r="T52" s="34">
        <v>0.39027777777777772</v>
      </c>
      <c r="U52" s="415">
        <f t="shared" si="34"/>
        <v>7.9999999999999716</v>
      </c>
      <c r="V52" s="426">
        <f t="shared" si="33"/>
        <v>144.99999999999997</v>
      </c>
      <c r="W52" s="16"/>
      <c r="X52" s="16"/>
      <c r="Y52" s="19"/>
      <c r="Z52" s="19"/>
      <c r="AA52" s="624"/>
      <c r="AB52" s="625"/>
      <c r="AC52" s="18"/>
      <c r="AD52" s="18"/>
      <c r="AE52" s="14">
        <f t="shared" si="8"/>
        <v>-132.82758620689583</v>
      </c>
      <c r="AF52" s="414">
        <f t="shared" si="9"/>
        <v>0.95572413793103472</v>
      </c>
      <c r="AG52" s="636"/>
    </row>
    <row r="53" spans="1:33" ht="15.75" customHeight="1">
      <c r="A53" s="634" t="s">
        <v>1995</v>
      </c>
      <c r="B53" s="29" t="s">
        <v>1989</v>
      </c>
      <c r="C53" s="612"/>
      <c r="D53" s="613"/>
      <c r="E53" s="416"/>
      <c r="F53" s="427"/>
      <c r="G53" s="415"/>
      <c r="H53" s="427"/>
      <c r="I53" s="23">
        <v>10.75</v>
      </c>
      <c r="J53" s="31">
        <v>2750</v>
      </c>
      <c r="K53" s="12">
        <f t="shared" si="1"/>
        <v>255.81395348837211</v>
      </c>
      <c r="L53" s="23">
        <v>10.75</v>
      </c>
      <c r="M53" s="13">
        <f>AVERAGE(M49:M52)</f>
        <v>2635.0481180447541</v>
      </c>
      <c r="N53" s="12">
        <f t="shared" si="3"/>
        <v>245.12075516695387</v>
      </c>
      <c r="O53" s="14">
        <f t="shared" si="4"/>
        <v>0</v>
      </c>
      <c r="P53" s="15">
        <f t="shared" si="5"/>
        <v>-10.693198321418237</v>
      </c>
      <c r="Q53" s="414">
        <f t="shared" si="6"/>
        <v>0.95819931565263783</v>
      </c>
      <c r="R53" s="637"/>
      <c r="S53" s="34"/>
      <c r="T53" s="34"/>
      <c r="U53" s="415"/>
      <c r="V53" s="426"/>
      <c r="W53" s="16"/>
      <c r="X53" s="16"/>
      <c r="Y53" s="24">
        <f>SUM(Y49:Y52)</f>
        <v>0</v>
      </c>
      <c r="Z53" s="24">
        <f>SUM(Z49:Z52)</f>
        <v>0</v>
      </c>
      <c r="AA53" s="628"/>
      <c r="AB53" s="629"/>
      <c r="AC53" s="24">
        <v>4</v>
      </c>
      <c r="AD53" s="24">
        <f>SUM(AD49:AD52)</f>
        <v>0</v>
      </c>
      <c r="AE53" s="14">
        <f t="shared" si="8"/>
        <v>-114.95188195524588</v>
      </c>
      <c r="AF53" s="414">
        <f t="shared" si="9"/>
        <v>0.95819931565263783</v>
      </c>
      <c r="AG53" s="637"/>
    </row>
    <row r="54" spans="1:33" ht="15.75" customHeight="1">
      <c r="A54" s="630" t="s">
        <v>1996</v>
      </c>
      <c r="B54" s="29" t="s">
        <v>15</v>
      </c>
      <c r="C54" s="616" t="s">
        <v>46</v>
      </c>
      <c r="D54" s="616"/>
      <c r="E54" s="29">
        <v>56.43</v>
      </c>
      <c r="F54" s="32">
        <v>1631</v>
      </c>
      <c r="G54" s="415">
        <f t="shared" ref="G54:G60" si="35">E54*F54</f>
        <v>92037.33</v>
      </c>
      <c r="H54" s="33" t="s">
        <v>57</v>
      </c>
      <c r="I54" s="425">
        <v>22</v>
      </c>
      <c r="J54" s="31">
        <v>2000</v>
      </c>
      <c r="K54" s="12">
        <f t="shared" si="1"/>
        <v>90.909090909090907</v>
      </c>
      <c r="L54" s="425">
        <v>22</v>
      </c>
      <c r="M54" s="13">
        <f t="shared" ref="M54" si="36">F54/V54*60</f>
        <v>1918.823529411764</v>
      </c>
      <c r="N54" s="13">
        <f t="shared" si="3"/>
        <v>87.219251336898367</v>
      </c>
      <c r="O54" s="14">
        <f t="shared" si="4"/>
        <v>0</v>
      </c>
      <c r="P54" s="15">
        <f t="shared" si="5"/>
        <v>-3.6898395721925397</v>
      </c>
      <c r="Q54" s="414">
        <f t="shared" si="6"/>
        <v>0.95941176470588208</v>
      </c>
      <c r="R54" s="615">
        <f>Q61</f>
        <v>0.95702930714869028</v>
      </c>
      <c r="S54" s="34">
        <v>0.16666666666666666</v>
      </c>
      <c r="T54" s="34">
        <v>0.20208333333333334</v>
      </c>
      <c r="U54" s="21"/>
      <c r="V54" s="426">
        <f t="shared" ref="V54:V60" si="37">(T54-S54)*24*60</f>
        <v>51.000000000000021</v>
      </c>
      <c r="W54" s="16">
        <f>T54</f>
        <v>0.20208333333333334</v>
      </c>
      <c r="X54" s="16">
        <f>S55</f>
        <v>0.22083333333333335</v>
      </c>
      <c r="Y54" s="21"/>
      <c r="Z54" s="21"/>
      <c r="AA54" s="617"/>
      <c r="AB54" s="617"/>
      <c r="AC54" s="18">
        <v>7</v>
      </c>
      <c r="AD54" s="18"/>
      <c r="AE54" s="14">
        <f t="shared" si="8"/>
        <v>-81.176470588236043</v>
      </c>
      <c r="AF54" s="414">
        <f t="shared" si="9"/>
        <v>0.95941176470588196</v>
      </c>
      <c r="AG54" s="615">
        <f>AF61</f>
        <v>0.95702930714869028</v>
      </c>
    </row>
    <row r="55" spans="1:33" ht="15.75" customHeight="1">
      <c r="A55" s="630" t="s">
        <v>1996</v>
      </c>
      <c r="B55" s="29" t="s">
        <v>19</v>
      </c>
      <c r="C55" s="616" t="s">
        <v>81</v>
      </c>
      <c r="D55" s="616"/>
      <c r="E55" s="29">
        <v>46</v>
      </c>
      <c r="F55" s="32">
        <v>3197</v>
      </c>
      <c r="G55" s="415">
        <f t="shared" si="35"/>
        <v>147062</v>
      </c>
      <c r="H55" s="33" t="s">
        <v>57</v>
      </c>
      <c r="I55" s="425">
        <v>16</v>
      </c>
      <c r="J55" s="31">
        <v>2000</v>
      </c>
      <c r="K55" s="12">
        <f t="shared" si="1"/>
        <v>125</v>
      </c>
      <c r="L55" s="425">
        <v>16</v>
      </c>
      <c r="M55" s="13">
        <f>F55/V55*60</f>
        <v>1918.1999999999998</v>
      </c>
      <c r="N55" s="13">
        <f t="shared" si="3"/>
        <v>119.88749999999999</v>
      </c>
      <c r="O55" s="14">
        <f t="shared" si="4"/>
        <v>0</v>
      </c>
      <c r="P55" s="15">
        <f t="shared" si="5"/>
        <v>-5.1125000000000114</v>
      </c>
      <c r="Q55" s="414">
        <f t="shared" si="6"/>
        <v>0.95909999999999995</v>
      </c>
      <c r="R55" s="615"/>
      <c r="S55" s="34">
        <v>0.22083333333333335</v>
      </c>
      <c r="T55" s="34">
        <v>0.2902777777777778</v>
      </c>
      <c r="U55" s="415">
        <f t="shared" ref="U55:U60" si="38">IF(S55=TIME(17,0,0),"",(S55-T54)*24*60)</f>
        <v>27.000000000000025</v>
      </c>
      <c r="V55" s="426">
        <f t="shared" si="37"/>
        <v>100</v>
      </c>
      <c r="W55" s="16"/>
      <c r="X55" s="16"/>
      <c r="Y55" s="16"/>
      <c r="Z55" s="16"/>
      <c r="AA55" s="617"/>
      <c r="AB55" s="617"/>
      <c r="AC55" s="18"/>
      <c r="AD55" s="18"/>
      <c r="AE55" s="14">
        <f t="shared" si="8"/>
        <v>-81.800000000000182</v>
      </c>
      <c r="AF55" s="414">
        <f t="shared" si="9"/>
        <v>0.95909999999999995</v>
      </c>
      <c r="AG55" s="615"/>
    </row>
    <row r="56" spans="1:33" ht="15.75" customHeight="1">
      <c r="A56" s="630" t="s">
        <v>1996</v>
      </c>
      <c r="B56" s="29" t="s">
        <v>19</v>
      </c>
      <c r="C56" s="622" t="s">
        <v>945</v>
      </c>
      <c r="D56" s="623"/>
      <c r="E56" s="29">
        <v>46</v>
      </c>
      <c r="F56" s="32">
        <v>5084</v>
      </c>
      <c r="G56" s="415">
        <f t="shared" si="35"/>
        <v>233864</v>
      </c>
      <c r="H56" s="33" t="s">
        <v>57</v>
      </c>
      <c r="I56" s="425">
        <v>17</v>
      </c>
      <c r="J56" s="31">
        <v>2000</v>
      </c>
      <c r="K56" s="12">
        <f t="shared" si="1"/>
        <v>117.64705882352941</v>
      </c>
      <c r="L56" s="425">
        <v>17</v>
      </c>
      <c r="M56" s="13">
        <f t="shared" ref="M56:M60" si="39">F56/V56*60</f>
        <v>1906.5</v>
      </c>
      <c r="N56" s="13">
        <f t="shared" si="3"/>
        <v>112.14705882352941</v>
      </c>
      <c r="O56" s="14">
        <f t="shared" si="4"/>
        <v>0</v>
      </c>
      <c r="P56" s="15">
        <f t="shared" si="5"/>
        <v>-5.5</v>
      </c>
      <c r="Q56" s="414">
        <f t="shared" si="6"/>
        <v>0.95325000000000004</v>
      </c>
      <c r="R56" s="615"/>
      <c r="S56" s="34">
        <v>0.29375000000000001</v>
      </c>
      <c r="T56" s="34">
        <v>0.40486111111111112</v>
      </c>
      <c r="U56" s="415">
        <f t="shared" si="38"/>
        <v>4.9999999999999822</v>
      </c>
      <c r="V56" s="426">
        <f t="shared" si="37"/>
        <v>160</v>
      </c>
      <c r="W56" s="16"/>
      <c r="X56" s="16"/>
      <c r="Y56" s="19"/>
      <c r="Z56" s="19"/>
      <c r="AA56" s="617"/>
      <c r="AB56" s="617"/>
      <c r="AC56" s="18"/>
      <c r="AD56" s="18"/>
      <c r="AE56" s="14">
        <f t="shared" si="8"/>
        <v>-93.5</v>
      </c>
      <c r="AF56" s="414">
        <f t="shared" si="9"/>
        <v>0.95325000000000004</v>
      </c>
      <c r="AG56" s="615"/>
    </row>
    <row r="57" spans="1:33" ht="15.75" customHeight="1">
      <c r="A57" s="630" t="s">
        <v>1996</v>
      </c>
      <c r="B57" s="29" t="s">
        <v>15</v>
      </c>
      <c r="C57" s="419" t="s">
        <v>27</v>
      </c>
      <c r="D57" s="420"/>
      <c r="E57" s="29">
        <v>59.04</v>
      </c>
      <c r="F57" s="32">
        <v>2651</v>
      </c>
      <c r="G57" s="415">
        <f t="shared" si="35"/>
        <v>156515.04</v>
      </c>
      <c r="H57" s="33" t="s">
        <v>57</v>
      </c>
      <c r="I57" s="425">
        <v>19</v>
      </c>
      <c r="J57" s="31">
        <v>2000</v>
      </c>
      <c r="K57" s="12">
        <f t="shared" si="1"/>
        <v>105.26315789473684</v>
      </c>
      <c r="L57" s="425">
        <v>19</v>
      </c>
      <c r="M57" s="13">
        <f t="shared" si="39"/>
        <v>1916.3855421686742</v>
      </c>
      <c r="N57" s="13">
        <f t="shared" si="3"/>
        <v>100.86239695624602</v>
      </c>
      <c r="O57" s="14">
        <f t="shared" si="4"/>
        <v>0</v>
      </c>
      <c r="P57" s="15">
        <f t="shared" si="5"/>
        <v>-4.4007609384908193</v>
      </c>
      <c r="Q57" s="414">
        <f t="shared" si="6"/>
        <v>0.9581927710843372</v>
      </c>
      <c r="R57" s="615"/>
      <c r="S57" s="34">
        <v>0.41041666666666665</v>
      </c>
      <c r="T57" s="34">
        <v>0.46805555555555556</v>
      </c>
      <c r="U57" s="415">
        <f t="shared" si="38"/>
        <v>7.9999999999999716</v>
      </c>
      <c r="V57" s="426">
        <f t="shared" si="37"/>
        <v>83.000000000000028</v>
      </c>
      <c r="W57" s="16"/>
      <c r="X57" s="16"/>
      <c r="Y57" s="19"/>
      <c r="Z57" s="19"/>
      <c r="AA57" s="617"/>
      <c r="AB57" s="617"/>
      <c r="AC57" s="18"/>
      <c r="AD57" s="18"/>
      <c r="AE57" s="14">
        <f t="shared" si="8"/>
        <v>-83.614457831325808</v>
      </c>
      <c r="AF57" s="414">
        <f t="shared" si="9"/>
        <v>0.95819277108433709</v>
      </c>
      <c r="AG57" s="615"/>
    </row>
    <row r="58" spans="1:33" ht="15.75" customHeight="1">
      <c r="A58" s="630" t="s">
        <v>1996</v>
      </c>
      <c r="B58" s="29" t="s">
        <v>15</v>
      </c>
      <c r="C58" s="419" t="s">
        <v>48</v>
      </c>
      <c r="D58" s="420"/>
      <c r="E58" s="29">
        <v>55.56</v>
      </c>
      <c r="F58" s="32">
        <v>2374</v>
      </c>
      <c r="G58" s="415">
        <f t="shared" si="35"/>
        <v>131899.44</v>
      </c>
      <c r="H58" s="33" t="s">
        <v>57</v>
      </c>
      <c r="I58" s="425">
        <v>17</v>
      </c>
      <c r="J58" s="31">
        <v>2000</v>
      </c>
      <c r="K58" s="12">
        <f t="shared" si="1"/>
        <v>117.64705882352941</v>
      </c>
      <c r="L58" s="425">
        <v>17</v>
      </c>
      <c r="M58" s="13">
        <f t="shared" si="39"/>
        <v>1924.8648648648636</v>
      </c>
      <c r="N58" s="13">
        <f t="shared" si="3"/>
        <v>113.2273449920508</v>
      </c>
      <c r="O58" s="14">
        <f t="shared" si="4"/>
        <v>0</v>
      </c>
      <c r="P58" s="15">
        <f t="shared" si="5"/>
        <v>-4.4197138314786031</v>
      </c>
      <c r="Q58" s="414">
        <f t="shared" si="6"/>
        <v>0.96243243243243182</v>
      </c>
      <c r="R58" s="615"/>
      <c r="S58" s="34">
        <v>0.70833333333333337</v>
      </c>
      <c r="T58" s="34">
        <v>0.7597222222222223</v>
      </c>
      <c r="U58" s="415" t="str">
        <f t="shared" si="38"/>
        <v/>
      </c>
      <c r="V58" s="426">
        <f t="shared" si="37"/>
        <v>74.000000000000057</v>
      </c>
      <c r="W58" s="16"/>
      <c r="X58" s="16"/>
      <c r="Y58" s="19"/>
      <c r="Z58" s="19"/>
      <c r="AA58" s="617"/>
      <c r="AB58" s="617"/>
      <c r="AC58" s="18"/>
      <c r="AD58" s="18"/>
      <c r="AE58" s="14">
        <f t="shared" si="8"/>
        <v>-75.135135135136352</v>
      </c>
      <c r="AF58" s="414">
        <f t="shared" si="9"/>
        <v>0.96243243243243182</v>
      </c>
      <c r="AG58" s="615"/>
    </row>
    <row r="59" spans="1:33" ht="15.75" customHeight="1">
      <c r="A59" s="630" t="s">
        <v>1996</v>
      </c>
      <c r="B59" s="29" t="s">
        <v>15</v>
      </c>
      <c r="C59" s="622" t="s">
        <v>841</v>
      </c>
      <c r="D59" s="623"/>
      <c r="E59" s="29">
        <v>54.09</v>
      </c>
      <c r="F59" s="32">
        <v>2095</v>
      </c>
      <c r="G59" s="415">
        <f t="shared" si="35"/>
        <v>113318.55</v>
      </c>
      <c r="H59" s="33" t="s">
        <v>57</v>
      </c>
      <c r="I59" s="425">
        <v>13</v>
      </c>
      <c r="J59" s="31">
        <v>2000</v>
      </c>
      <c r="K59" s="12">
        <f t="shared" si="1"/>
        <v>153.84615384615384</v>
      </c>
      <c r="L59" s="425">
        <v>13</v>
      </c>
      <c r="M59" s="13">
        <f t="shared" si="39"/>
        <v>1904.5454545454522</v>
      </c>
      <c r="N59" s="13">
        <f t="shared" si="3"/>
        <v>146.50349650349634</v>
      </c>
      <c r="O59" s="14">
        <f t="shared" si="4"/>
        <v>0</v>
      </c>
      <c r="P59" s="15">
        <f t="shared" si="5"/>
        <v>-7.3426573426575032</v>
      </c>
      <c r="Q59" s="414">
        <f t="shared" si="6"/>
        <v>0.95227272727272627</v>
      </c>
      <c r="R59" s="615"/>
      <c r="S59" s="34">
        <v>0.76319444444444451</v>
      </c>
      <c r="T59" s="34">
        <v>0.8090277777777779</v>
      </c>
      <c r="U59" s="415">
        <f t="shared" si="38"/>
        <v>4.9999999999999822</v>
      </c>
      <c r="V59" s="426">
        <f t="shared" si="37"/>
        <v>66.000000000000085</v>
      </c>
      <c r="W59" s="16"/>
      <c r="X59" s="16"/>
      <c r="Y59" s="19"/>
      <c r="Z59" s="19"/>
      <c r="AA59" s="624"/>
      <c r="AB59" s="625"/>
      <c r="AC59" s="18"/>
      <c r="AD59" s="18"/>
      <c r="AE59" s="14">
        <f t="shared" si="8"/>
        <v>-95.45454545454777</v>
      </c>
      <c r="AF59" s="414">
        <f t="shared" si="9"/>
        <v>0.95227272727272616</v>
      </c>
      <c r="AG59" s="615"/>
    </row>
    <row r="60" spans="1:33" ht="15.75" customHeight="1">
      <c r="A60" s="630" t="s">
        <v>1996</v>
      </c>
      <c r="B60" s="29" t="s">
        <v>15</v>
      </c>
      <c r="C60" s="622" t="s">
        <v>85</v>
      </c>
      <c r="D60" s="623"/>
      <c r="E60" s="29">
        <v>56.43</v>
      </c>
      <c r="F60" s="32">
        <v>1750</v>
      </c>
      <c r="G60" s="415">
        <f t="shared" si="35"/>
        <v>98752.5</v>
      </c>
      <c r="H60" s="33" t="s">
        <v>57</v>
      </c>
      <c r="I60" s="425">
        <v>13</v>
      </c>
      <c r="J60" s="31">
        <v>2000</v>
      </c>
      <c r="K60" s="12">
        <f t="shared" si="1"/>
        <v>153.84615384615384</v>
      </c>
      <c r="L60" s="425">
        <v>13</v>
      </c>
      <c r="M60" s="13">
        <f t="shared" si="39"/>
        <v>1909.0909090909104</v>
      </c>
      <c r="N60" s="13">
        <f t="shared" si="3"/>
        <v>146.85314685314694</v>
      </c>
      <c r="O60" s="14">
        <f t="shared" si="4"/>
        <v>0</v>
      </c>
      <c r="P60" s="15">
        <f t="shared" si="5"/>
        <v>-6.993006993006901</v>
      </c>
      <c r="Q60" s="414">
        <f t="shared" si="6"/>
        <v>0.95454545454545514</v>
      </c>
      <c r="R60" s="615"/>
      <c r="S60" s="34">
        <v>0.81250000000000011</v>
      </c>
      <c r="T60" s="34">
        <v>0.85069444444444453</v>
      </c>
      <c r="U60" s="415">
        <f t="shared" si="38"/>
        <v>4.9999999999999822</v>
      </c>
      <c r="V60" s="426">
        <f t="shared" si="37"/>
        <v>54.999999999999964</v>
      </c>
      <c r="W60" s="16"/>
      <c r="X60" s="16"/>
      <c r="Y60" s="19"/>
      <c r="Z60" s="19"/>
      <c r="AA60" s="624"/>
      <c r="AB60" s="625"/>
      <c r="AC60" s="18"/>
      <c r="AD60" s="18"/>
      <c r="AE60" s="14">
        <f t="shared" si="8"/>
        <v>-90.909090909089628</v>
      </c>
      <c r="AF60" s="414">
        <f t="shared" si="9"/>
        <v>0.95454545454545514</v>
      </c>
      <c r="AG60" s="615"/>
    </row>
    <row r="61" spans="1:33">
      <c r="A61" s="631" t="s">
        <v>1996</v>
      </c>
      <c r="B61" s="29" t="s">
        <v>1989</v>
      </c>
      <c r="C61" s="618"/>
      <c r="D61" s="618"/>
      <c r="E61" s="417"/>
      <c r="F61" s="30"/>
      <c r="G61" s="12"/>
      <c r="H61" s="427"/>
      <c r="I61" s="23">
        <v>16.714285714285715</v>
      </c>
      <c r="J61" s="31">
        <v>2000</v>
      </c>
      <c r="K61" s="12">
        <f t="shared" si="1"/>
        <v>119.65811965811965</v>
      </c>
      <c r="L61" s="23">
        <v>16.714285714285715</v>
      </c>
      <c r="M61" s="13">
        <f>AVERAGE(M54:M60)</f>
        <v>1914.0586142973805</v>
      </c>
      <c r="N61" s="12">
        <f t="shared" si="3"/>
        <v>114.51632735112533</v>
      </c>
      <c r="O61" s="14">
        <f t="shared" si="4"/>
        <v>0</v>
      </c>
      <c r="P61" s="15">
        <f t="shared" si="5"/>
        <v>-5.1417923069943186</v>
      </c>
      <c r="Q61" s="414">
        <f t="shared" si="6"/>
        <v>0.95702930714869028</v>
      </c>
      <c r="R61" s="615"/>
      <c r="S61" s="34"/>
      <c r="T61" s="34"/>
      <c r="U61" s="415"/>
      <c r="V61" s="426"/>
      <c r="W61" s="12"/>
      <c r="X61" s="12"/>
      <c r="Y61" s="24">
        <f>SUM(Y54:Y60)</f>
        <v>0</v>
      </c>
      <c r="Z61" s="24">
        <f>SUM(Z54:Z60)</f>
        <v>0</v>
      </c>
      <c r="AA61" s="614"/>
      <c r="AB61" s="614"/>
      <c r="AC61" s="24">
        <v>7</v>
      </c>
      <c r="AD61" s="24">
        <f>SUM(AD54:AD60)</f>
        <v>0</v>
      </c>
      <c r="AE61" s="14">
        <f>M61-J61</f>
        <v>-85.941385702619527</v>
      </c>
      <c r="AF61" s="414">
        <f t="shared" si="9"/>
        <v>0.95702930714869028</v>
      </c>
      <c r="AG61" s="615"/>
    </row>
    <row r="62" spans="1:33" ht="15.75" customHeight="1">
      <c r="A62" s="626" t="s">
        <v>1997</v>
      </c>
      <c r="B62" s="427" t="s">
        <v>40</v>
      </c>
      <c r="C62" s="616" t="s">
        <v>49</v>
      </c>
      <c r="D62" s="616"/>
      <c r="E62" s="29">
        <v>34.36</v>
      </c>
      <c r="F62" s="32">
        <v>2304</v>
      </c>
      <c r="G62" s="415">
        <f t="shared" ref="G62:G65" si="40">E62*F62</f>
        <v>79165.440000000002</v>
      </c>
      <c r="H62" s="33" t="s">
        <v>57</v>
      </c>
      <c r="I62" s="425">
        <v>10</v>
      </c>
      <c r="J62" s="31">
        <v>3000</v>
      </c>
      <c r="K62" s="12">
        <f t="shared" si="1"/>
        <v>300</v>
      </c>
      <c r="L62" s="425">
        <v>10</v>
      </c>
      <c r="M62" s="13">
        <f t="shared" ref="M62:M65" si="41">F62/V62*60</f>
        <v>2880.0000000000009</v>
      </c>
      <c r="N62" s="12">
        <f t="shared" si="3"/>
        <v>288.00000000000011</v>
      </c>
      <c r="O62" s="14">
        <f t="shared" si="4"/>
        <v>0</v>
      </c>
      <c r="P62" s="15">
        <f t="shared" si="5"/>
        <v>-11.999999999999886</v>
      </c>
      <c r="Q62" s="414">
        <f t="shared" si="6"/>
        <v>0.96000000000000041</v>
      </c>
      <c r="R62" s="615">
        <f>Q66</f>
        <v>0.9565382729226467</v>
      </c>
      <c r="S62" s="34">
        <v>0.20833333333333334</v>
      </c>
      <c r="T62" s="34">
        <v>0.24166666666666667</v>
      </c>
      <c r="U62" s="415"/>
      <c r="V62" s="426">
        <f t="shared" ref="V62:V65" si="42">(T62-S62)*24*60</f>
        <v>47.999999999999986</v>
      </c>
      <c r="W62" s="16"/>
      <c r="X62" s="16"/>
      <c r="Y62" s="21"/>
      <c r="Z62" s="21"/>
      <c r="AA62" s="617"/>
      <c r="AB62" s="617"/>
      <c r="AC62" s="18">
        <v>4</v>
      </c>
      <c r="AD62" s="18"/>
      <c r="AE62" s="14">
        <f t="shared" ref="AE62:AE73" si="43">M62-J62</f>
        <v>-119.99999999999909</v>
      </c>
      <c r="AF62" s="414">
        <f t="shared" si="9"/>
        <v>0.9600000000000003</v>
      </c>
      <c r="AG62" s="615">
        <f>AF66</f>
        <v>0.9565382729226467</v>
      </c>
    </row>
    <row r="63" spans="1:33" ht="15.75" customHeight="1">
      <c r="A63" s="626" t="s">
        <v>1997</v>
      </c>
      <c r="B63" s="427" t="s">
        <v>40</v>
      </c>
      <c r="C63" s="616" t="s">
        <v>51</v>
      </c>
      <c r="D63" s="616"/>
      <c r="E63" s="29">
        <v>26.78</v>
      </c>
      <c r="F63" s="32">
        <v>2715</v>
      </c>
      <c r="G63" s="415">
        <f t="shared" si="40"/>
        <v>72707.7</v>
      </c>
      <c r="H63" s="33" t="s">
        <v>57</v>
      </c>
      <c r="I63" s="425">
        <v>10</v>
      </c>
      <c r="J63" s="31">
        <v>3000</v>
      </c>
      <c r="K63" s="12">
        <f t="shared" si="1"/>
        <v>300</v>
      </c>
      <c r="L63" s="425">
        <v>10</v>
      </c>
      <c r="M63" s="13">
        <f t="shared" si="41"/>
        <v>2857.8947368421072</v>
      </c>
      <c r="N63" s="12">
        <f t="shared" si="3"/>
        <v>285.78947368421075</v>
      </c>
      <c r="O63" s="14">
        <f t="shared" si="4"/>
        <v>0</v>
      </c>
      <c r="P63" s="15">
        <f t="shared" si="5"/>
        <v>-14.210526315789252</v>
      </c>
      <c r="Q63" s="414">
        <f t="shared" si="6"/>
        <v>0.95263157894736916</v>
      </c>
      <c r="R63" s="615"/>
      <c r="S63" s="34">
        <v>0.24583333333333335</v>
      </c>
      <c r="T63" s="34">
        <v>0.28541666666666665</v>
      </c>
      <c r="U63" s="415">
        <f t="shared" ref="U63:U65" si="44">(S63-T62)*24*60</f>
        <v>6.0000000000000187</v>
      </c>
      <c r="V63" s="426">
        <f t="shared" si="42"/>
        <v>56.999999999999957</v>
      </c>
      <c r="W63" s="415"/>
      <c r="X63" s="415"/>
      <c r="Y63" s="415"/>
      <c r="Z63" s="415"/>
      <c r="AA63" s="617"/>
      <c r="AB63" s="617"/>
      <c r="AC63" s="18"/>
      <c r="AD63" s="18"/>
      <c r="AE63" s="14">
        <f t="shared" si="43"/>
        <v>-142.10526315789275</v>
      </c>
      <c r="AF63" s="414">
        <f t="shared" si="9"/>
        <v>0.95263157894736905</v>
      </c>
      <c r="AG63" s="615"/>
    </row>
    <row r="64" spans="1:33" ht="15.75" customHeight="1">
      <c r="A64" s="626" t="s">
        <v>1997</v>
      </c>
      <c r="B64" s="427" t="s">
        <v>40</v>
      </c>
      <c r="C64" s="616" t="s">
        <v>52</v>
      </c>
      <c r="D64" s="616"/>
      <c r="E64" s="29">
        <v>35.869999999999997</v>
      </c>
      <c r="F64" s="32">
        <v>4241</v>
      </c>
      <c r="G64" s="415">
        <f t="shared" si="40"/>
        <v>152124.66999999998</v>
      </c>
      <c r="H64" s="33" t="s">
        <v>57</v>
      </c>
      <c r="I64" s="425">
        <v>9</v>
      </c>
      <c r="J64" s="31">
        <v>3000</v>
      </c>
      <c r="K64" s="12">
        <f t="shared" si="1"/>
        <v>333.33333333333331</v>
      </c>
      <c r="L64" s="425">
        <v>9</v>
      </c>
      <c r="M64" s="13">
        <f t="shared" si="41"/>
        <v>2859.1011235955057</v>
      </c>
      <c r="N64" s="12">
        <f t="shared" si="3"/>
        <v>317.67790262172286</v>
      </c>
      <c r="O64" s="14">
        <f t="shared" si="4"/>
        <v>0</v>
      </c>
      <c r="P64" s="15">
        <f t="shared" si="5"/>
        <v>-15.65543071161045</v>
      </c>
      <c r="Q64" s="414">
        <f t="shared" si="6"/>
        <v>0.95303370786516861</v>
      </c>
      <c r="R64" s="615"/>
      <c r="S64" s="34">
        <v>0.2895833333333333</v>
      </c>
      <c r="T64" s="34">
        <v>0.35138888888888886</v>
      </c>
      <c r="U64" s="415">
        <f t="shared" si="44"/>
        <v>5.9999999999999787</v>
      </c>
      <c r="V64" s="426">
        <f t="shared" si="42"/>
        <v>89</v>
      </c>
      <c r="W64" s="415"/>
      <c r="X64" s="415"/>
      <c r="Y64" s="415"/>
      <c r="Z64" s="415"/>
      <c r="AA64" s="617"/>
      <c r="AB64" s="617"/>
      <c r="AC64" s="18"/>
      <c r="AD64" s="18"/>
      <c r="AE64" s="14">
        <f t="shared" si="43"/>
        <v>-140.89887640449433</v>
      </c>
      <c r="AF64" s="414">
        <f t="shared" si="9"/>
        <v>0.95303370786516861</v>
      </c>
      <c r="AG64" s="615"/>
    </row>
    <row r="65" spans="1:33" ht="15.75" customHeight="1">
      <c r="A65" s="626" t="s">
        <v>1997</v>
      </c>
      <c r="B65" s="427" t="s">
        <v>40</v>
      </c>
      <c r="C65" s="616" t="s">
        <v>53</v>
      </c>
      <c r="D65" s="616"/>
      <c r="E65" s="29">
        <v>34.35</v>
      </c>
      <c r="F65" s="32">
        <v>1969</v>
      </c>
      <c r="G65" s="415">
        <f t="shared" si="40"/>
        <v>67635.150000000009</v>
      </c>
      <c r="H65" s="33" t="s">
        <v>57</v>
      </c>
      <c r="I65" s="425">
        <v>8</v>
      </c>
      <c r="J65" s="31">
        <v>3000</v>
      </c>
      <c r="K65" s="12">
        <f t="shared" si="1"/>
        <v>375</v>
      </c>
      <c r="L65" s="425">
        <v>8</v>
      </c>
      <c r="M65" s="13">
        <f t="shared" si="41"/>
        <v>2881.4634146341455</v>
      </c>
      <c r="N65" s="12">
        <f t="shared" si="3"/>
        <v>360.18292682926818</v>
      </c>
      <c r="O65" s="14">
        <f t="shared" si="4"/>
        <v>0</v>
      </c>
      <c r="P65" s="15">
        <f t="shared" si="5"/>
        <v>-14.817073170731817</v>
      </c>
      <c r="Q65" s="414">
        <f t="shared" si="6"/>
        <v>0.96048780487804852</v>
      </c>
      <c r="R65" s="615"/>
      <c r="S65" s="34">
        <v>0.35555555555555551</v>
      </c>
      <c r="T65" s="34">
        <v>0.38402777777777775</v>
      </c>
      <c r="U65" s="415">
        <f t="shared" si="44"/>
        <v>5.9999999999999787</v>
      </c>
      <c r="V65" s="426">
        <f t="shared" si="42"/>
        <v>41.000000000000014</v>
      </c>
      <c r="W65" s="415"/>
      <c r="X65" s="415"/>
      <c r="Y65" s="415"/>
      <c r="Z65" s="415"/>
      <c r="AA65" s="617"/>
      <c r="AB65" s="617"/>
      <c r="AC65" s="18"/>
      <c r="AD65" s="18"/>
      <c r="AE65" s="14">
        <f t="shared" si="43"/>
        <v>-118.53658536585453</v>
      </c>
      <c r="AF65" s="414">
        <f t="shared" si="9"/>
        <v>0.96048780487804852</v>
      </c>
      <c r="AG65" s="615"/>
    </row>
    <row r="66" spans="1:33">
      <c r="A66" s="627" t="s">
        <v>1997</v>
      </c>
      <c r="B66" s="29" t="s">
        <v>1989</v>
      </c>
      <c r="C66" s="618"/>
      <c r="D66" s="618"/>
      <c r="E66" s="417"/>
      <c r="F66" s="30"/>
      <c r="G66" s="12"/>
      <c r="H66" s="427"/>
      <c r="I66" s="23">
        <v>9.25</v>
      </c>
      <c r="J66" s="31">
        <v>3000</v>
      </c>
      <c r="K66" s="12">
        <f t="shared" si="1"/>
        <v>324.32432432432432</v>
      </c>
      <c r="L66" s="23">
        <v>9.25</v>
      </c>
      <c r="M66" s="13">
        <f>AVERAGE(M62:M65)</f>
        <v>2869.6148187679401</v>
      </c>
      <c r="N66" s="12">
        <f t="shared" si="3"/>
        <v>310.22862905599351</v>
      </c>
      <c r="O66" s="14">
        <f t="shared" si="4"/>
        <v>0</v>
      </c>
      <c r="P66" s="15">
        <f t="shared" si="5"/>
        <v>-14.095695268330815</v>
      </c>
      <c r="Q66" s="414">
        <f t="shared" si="6"/>
        <v>0.9565382729226467</v>
      </c>
      <c r="R66" s="615"/>
      <c r="S66" s="34"/>
      <c r="T66" s="34"/>
      <c r="U66" s="12"/>
      <c r="V66" s="426"/>
      <c r="W66" s="12"/>
      <c r="X66" s="12"/>
      <c r="Y66" s="24">
        <f>SUM(Y62:Y65)</f>
        <v>0</v>
      </c>
      <c r="Z66" s="24">
        <f>SUM(Z62:Z65)</f>
        <v>0</v>
      </c>
      <c r="AA66" s="614"/>
      <c r="AB66" s="614"/>
      <c r="AC66" s="24">
        <v>4</v>
      </c>
      <c r="AD66" s="24">
        <f>SUM(AD62:AD65)</f>
        <v>0</v>
      </c>
      <c r="AE66" s="14">
        <f t="shared" si="43"/>
        <v>-130.38518123205995</v>
      </c>
      <c r="AF66" s="414">
        <f t="shared" si="9"/>
        <v>0.9565382729226467</v>
      </c>
      <c r="AG66" s="615"/>
    </row>
    <row r="67" spans="1:33" ht="15.75" customHeight="1">
      <c r="A67" s="619" t="s">
        <v>1998</v>
      </c>
      <c r="B67" s="427" t="s">
        <v>32</v>
      </c>
      <c r="C67" s="616" t="s">
        <v>56</v>
      </c>
      <c r="D67" s="616"/>
      <c r="E67" s="29">
        <v>19.02</v>
      </c>
      <c r="F67" s="427">
        <v>5600</v>
      </c>
      <c r="G67" s="415">
        <f t="shared" ref="G67:G72" si="45">E67*F67</f>
        <v>106512</v>
      </c>
      <c r="H67" s="33">
        <v>2</v>
      </c>
      <c r="I67" s="425">
        <v>14</v>
      </c>
      <c r="J67" s="31">
        <v>2400</v>
      </c>
      <c r="K67" s="12">
        <f t="shared" si="1"/>
        <v>171.42857142857142</v>
      </c>
      <c r="L67" s="425">
        <v>14</v>
      </c>
      <c r="M67" s="13">
        <f t="shared" ref="M67:M72" si="46">F67/V67*60</f>
        <v>2285.7142857142858</v>
      </c>
      <c r="N67" s="12">
        <f t="shared" si="3"/>
        <v>163.26530612244898</v>
      </c>
      <c r="O67" s="14">
        <f t="shared" si="4"/>
        <v>0</v>
      </c>
      <c r="P67" s="15">
        <f t="shared" si="5"/>
        <v>-8.1632653061224403</v>
      </c>
      <c r="Q67" s="414">
        <f t="shared" si="6"/>
        <v>0.95238095238095244</v>
      </c>
      <c r="R67" s="615">
        <f>Q73</f>
        <v>0.95535317482494864</v>
      </c>
      <c r="S67" s="34">
        <v>8.3333333333333329E-2</v>
      </c>
      <c r="T67" s="34">
        <v>0.18541666666666667</v>
      </c>
      <c r="U67" s="21"/>
      <c r="V67" s="426">
        <f t="shared" ref="V67:V72" si="47">(T67-S67)*24*60</f>
        <v>147</v>
      </c>
      <c r="W67" s="16">
        <f>T67</f>
        <v>0.18541666666666667</v>
      </c>
      <c r="X67" s="16">
        <f>S68</f>
        <v>0.20625000000000002</v>
      </c>
      <c r="Y67" s="16"/>
      <c r="Z67" s="16"/>
      <c r="AA67" s="617"/>
      <c r="AB67" s="617"/>
      <c r="AC67" s="18">
        <v>6</v>
      </c>
      <c r="AD67" s="18"/>
      <c r="AE67" s="14">
        <f t="shared" si="43"/>
        <v>-114.28571428571422</v>
      </c>
      <c r="AF67" s="414">
        <f t="shared" si="9"/>
        <v>0.95238095238095244</v>
      </c>
      <c r="AG67" s="615">
        <f>AF73</f>
        <v>0.95535317482494875</v>
      </c>
    </row>
    <row r="68" spans="1:33" ht="15.75" customHeight="1">
      <c r="A68" s="620" t="s">
        <v>1998</v>
      </c>
      <c r="B68" s="427" t="s">
        <v>32</v>
      </c>
      <c r="C68" s="616" t="s">
        <v>36</v>
      </c>
      <c r="D68" s="616"/>
      <c r="E68" s="29">
        <v>20.36</v>
      </c>
      <c r="F68" s="427">
        <v>4636</v>
      </c>
      <c r="G68" s="415">
        <f t="shared" si="45"/>
        <v>94388.959999999992</v>
      </c>
      <c r="H68" s="33" t="s">
        <v>57</v>
      </c>
      <c r="I68" s="425">
        <v>17</v>
      </c>
      <c r="J68" s="31">
        <v>2400</v>
      </c>
      <c r="K68" s="12">
        <f t="shared" si="1"/>
        <v>141.1764705882353</v>
      </c>
      <c r="L68" s="425">
        <v>17</v>
      </c>
      <c r="M68" s="13">
        <f t="shared" si="46"/>
        <v>2298.8429752066118</v>
      </c>
      <c r="N68" s="12">
        <f t="shared" si="3"/>
        <v>135.22605736509482</v>
      </c>
      <c r="O68" s="14">
        <f t="shared" si="4"/>
        <v>0</v>
      </c>
      <c r="P68" s="15">
        <f t="shared" si="5"/>
        <v>-5.9504132231404867</v>
      </c>
      <c r="Q68" s="414">
        <f t="shared" si="6"/>
        <v>0.95785123966942154</v>
      </c>
      <c r="R68" s="615"/>
      <c r="S68" s="34">
        <v>0.20625000000000002</v>
      </c>
      <c r="T68" s="34">
        <v>0.2902777777777778</v>
      </c>
      <c r="U68" s="415">
        <f t="shared" ref="U68:U72" si="48">(S68-T67)*24*60</f>
        <v>30.000000000000014</v>
      </c>
      <c r="V68" s="426">
        <f t="shared" si="47"/>
        <v>121</v>
      </c>
      <c r="W68" s="16"/>
      <c r="X68" s="16"/>
      <c r="Y68" s="16"/>
      <c r="Z68" s="16"/>
      <c r="AA68" s="617"/>
      <c r="AB68" s="617"/>
      <c r="AC68" s="18"/>
      <c r="AD68" s="18"/>
      <c r="AE68" s="14">
        <f t="shared" si="43"/>
        <v>-101.15702479338825</v>
      </c>
      <c r="AF68" s="414">
        <f t="shared" si="9"/>
        <v>0.95785123966942154</v>
      </c>
      <c r="AG68" s="615"/>
    </row>
    <row r="69" spans="1:33" ht="15.75" customHeight="1">
      <c r="A69" s="620" t="s">
        <v>1998</v>
      </c>
      <c r="B69" s="427" t="s">
        <v>32</v>
      </c>
      <c r="C69" s="616" t="s">
        <v>54</v>
      </c>
      <c r="D69" s="616"/>
      <c r="E69" s="29">
        <v>20.21</v>
      </c>
      <c r="F69" s="427">
        <v>3158</v>
      </c>
      <c r="G69" s="415">
        <f t="shared" si="45"/>
        <v>63823.18</v>
      </c>
      <c r="H69" s="33" t="s">
        <v>57</v>
      </c>
      <c r="I69" s="425">
        <v>15</v>
      </c>
      <c r="J69" s="31">
        <v>2400</v>
      </c>
      <c r="K69" s="12">
        <f t="shared" ref="K69:K73" si="49">J69/I69</f>
        <v>160</v>
      </c>
      <c r="L69" s="425">
        <v>15</v>
      </c>
      <c r="M69" s="13">
        <f t="shared" si="46"/>
        <v>2282.8915662650593</v>
      </c>
      <c r="N69" s="12">
        <f t="shared" ref="N69:N73" si="50">M69/L69</f>
        <v>152.19277108433729</v>
      </c>
      <c r="O69" s="14">
        <f t="shared" ref="O69:O73" si="51">L69-I69</f>
        <v>0</v>
      </c>
      <c r="P69" s="15">
        <f t="shared" ref="P69:P73" si="52">N69-K69</f>
        <v>-7.807228915662705</v>
      </c>
      <c r="Q69" s="414">
        <f t="shared" ref="Q69:Q73" si="53">N69/K69</f>
        <v>0.95120481927710809</v>
      </c>
      <c r="R69" s="615"/>
      <c r="S69" s="34">
        <v>0.29444444444444445</v>
      </c>
      <c r="T69" s="34">
        <v>0.35208333333333336</v>
      </c>
      <c r="U69" s="415">
        <f t="shared" si="48"/>
        <v>5.9999999999999787</v>
      </c>
      <c r="V69" s="426">
        <f t="shared" si="47"/>
        <v>83.000000000000028</v>
      </c>
      <c r="W69" s="16"/>
      <c r="X69" s="16"/>
      <c r="Y69" s="16"/>
      <c r="Z69" s="16"/>
      <c r="AA69" s="617"/>
      <c r="AB69" s="617"/>
      <c r="AC69" s="18"/>
      <c r="AD69" s="18"/>
      <c r="AE69" s="14">
        <f t="shared" si="43"/>
        <v>-117.10843373494072</v>
      </c>
      <c r="AF69" s="414">
        <f t="shared" ref="AF69:AF73" si="54">M69/J69</f>
        <v>0.95120481927710798</v>
      </c>
      <c r="AG69" s="615"/>
    </row>
    <row r="70" spans="1:33" ht="15.75" customHeight="1">
      <c r="A70" s="620" t="s">
        <v>1998</v>
      </c>
      <c r="B70" s="427" t="s">
        <v>32</v>
      </c>
      <c r="C70" s="616" t="s">
        <v>55</v>
      </c>
      <c r="D70" s="616"/>
      <c r="E70" s="29">
        <v>22.69</v>
      </c>
      <c r="F70" s="427">
        <v>3268</v>
      </c>
      <c r="G70" s="415">
        <f t="shared" si="45"/>
        <v>74150.92</v>
      </c>
      <c r="H70" s="33" t="s">
        <v>57</v>
      </c>
      <c r="I70" s="425">
        <v>15</v>
      </c>
      <c r="J70" s="31">
        <v>2400</v>
      </c>
      <c r="K70" s="12">
        <f t="shared" si="49"/>
        <v>160</v>
      </c>
      <c r="L70" s="425">
        <v>15</v>
      </c>
      <c r="M70" s="13">
        <f t="shared" si="46"/>
        <v>2306.823529411764</v>
      </c>
      <c r="N70" s="12">
        <f t="shared" si="50"/>
        <v>153.78823529411758</v>
      </c>
      <c r="O70" s="14">
        <f t="shared" si="51"/>
        <v>0</v>
      </c>
      <c r="P70" s="15">
        <f t="shared" si="52"/>
        <v>-6.2117647058824161</v>
      </c>
      <c r="Q70" s="414">
        <f t="shared" si="53"/>
        <v>0.96117647058823485</v>
      </c>
      <c r="R70" s="615"/>
      <c r="S70" s="34">
        <v>0.35694444444444445</v>
      </c>
      <c r="T70" s="34">
        <v>0.41597222222222224</v>
      </c>
      <c r="U70" s="415">
        <f t="shared" si="48"/>
        <v>6.9999999999999751</v>
      </c>
      <c r="V70" s="426">
        <f t="shared" si="47"/>
        <v>85.000000000000014</v>
      </c>
      <c r="W70" s="16"/>
      <c r="X70" s="16"/>
      <c r="Y70" s="16"/>
      <c r="Z70" s="16"/>
      <c r="AA70" s="617"/>
      <c r="AB70" s="617"/>
      <c r="AC70" s="18"/>
      <c r="AD70" s="18"/>
      <c r="AE70" s="14">
        <f t="shared" si="43"/>
        <v>-93.176470588236043</v>
      </c>
      <c r="AF70" s="414">
        <f t="shared" si="54"/>
        <v>0.96117647058823497</v>
      </c>
      <c r="AG70" s="615"/>
    </row>
    <row r="71" spans="1:33" ht="15.75" customHeight="1">
      <c r="A71" s="620" t="s">
        <v>1998</v>
      </c>
      <c r="B71" s="427" t="s">
        <v>32</v>
      </c>
      <c r="C71" s="616" t="s">
        <v>949</v>
      </c>
      <c r="D71" s="616"/>
      <c r="E71" s="29">
        <v>25.98</v>
      </c>
      <c r="F71" s="427">
        <v>5497</v>
      </c>
      <c r="G71" s="415">
        <f t="shared" si="45"/>
        <v>142812.06</v>
      </c>
      <c r="H71" s="33" t="s">
        <v>57</v>
      </c>
      <c r="I71" s="425">
        <v>17</v>
      </c>
      <c r="J71" s="31">
        <v>2400</v>
      </c>
      <c r="K71" s="12">
        <f t="shared" si="49"/>
        <v>141.1764705882353</v>
      </c>
      <c r="L71" s="425">
        <v>17</v>
      </c>
      <c r="M71" s="13">
        <f t="shared" si="46"/>
        <v>2290.4166666666656</v>
      </c>
      <c r="N71" s="12">
        <f t="shared" si="50"/>
        <v>134.73039215686268</v>
      </c>
      <c r="O71" s="14">
        <f t="shared" si="51"/>
        <v>0</v>
      </c>
      <c r="P71" s="15">
        <f t="shared" si="52"/>
        <v>-6.4460784313726265</v>
      </c>
      <c r="Q71" s="414">
        <f t="shared" si="53"/>
        <v>0.95434027777777719</v>
      </c>
      <c r="R71" s="615"/>
      <c r="S71" s="34">
        <v>0.42083333333333334</v>
      </c>
      <c r="T71" s="34">
        <v>0.52083333333333337</v>
      </c>
      <c r="U71" s="415">
        <f t="shared" si="48"/>
        <v>6.9999999999999751</v>
      </c>
      <c r="V71" s="426">
        <f t="shared" si="47"/>
        <v>144.00000000000006</v>
      </c>
      <c r="W71" s="16">
        <f>T71</f>
        <v>0.52083333333333337</v>
      </c>
      <c r="X71" s="16">
        <f>S72</f>
        <v>0.56180555555555556</v>
      </c>
      <c r="Y71" s="16"/>
      <c r="Z71" s="16"/>
      <c r="AA71" s="617"/>
      <c r="AB71" s="617"/>
      <c r="AC71" s="18"/>
      <c r="AD71" s="18"/>
      <c r="AE71" s="14">
        <f t="shared" si="43"/>
        <v>-109.58333333333439</v>
      </c>
      <c r="AF71" s="414">
        <f t="shared" si="54"/>
        <v>0.9543402777777773</v>
      </c>
      <c r="AG71" s="615"/>
    </row>
    <row r="72" spans="1:33" ht="15.75" customHeight="1">
      <c r="A72" s="620" t="s">
        <v>1998</v>
      </c>
      <c r="B72" s="427" t="s">
        <v>32</v>
      </c>
      <c r="C72" s="616" t="s">
        <v>56</v>
      </c>
      <c r="D72" s="616"/>
      <c r="E72" s="29">
        <v>19.02</v>
      </c>
      <c r="F72" s="427">
        <v>4623</v>
      </c>
      <c r="G72" s="415">
        <f t="shared" si="45"/>
        <v>87929.459999999992</v>
      </c>
      <c r="H72" s="33" t="s">
        <v>57</v>
      </c>
      <c r="I72" s="425">
        <v>14</v>
      </c>
      <c r="J72" s="31">
        <v>2400</v>
      </c>
      <c r="K72" s="12">
        <f t="shared" si="49"/>
        <v>171.42857142857142</v>
      </c>
      <c r="L72" s="425">
        <v>14</v>
      </c>
      <c r="M72" s="13">
        <f t="shared" si="46"/>
        <v>2292.396694214875</v>
      </c>
      <c r="N72" s="12">
        <f t="shared" si="50"/>
        <v>163.74262101534822</v>
      </c>
      <c r="O72" s="14">
        <f t="shared" si="51"/>
        <v>0</v>
      </c>
      <c r="P72" s="15">
        <f t="shared" si="52"/>
        <v>-7.6859504132231962</v>
      </c>
      <c r="Q72" s="414">
        <f t="shared" si="53"/>
        <v>0.95516528925619804</v>
      </c>
      <c r="R72" s="615"/>
      <c r="S72" s="34">
        <v>0.56180555555555556</v>
      </c>
      <c r="T72" s="34">
        <v>0.64583333333333337</v>
      </c>
      <c r="U72" s="415">
        <f t="shared" si="48"/>
        <v>58.99999999999995</v>
      </c>
      <c r="V72" s="426">
        <f t="shared" si="47"/>
        <v>121.00000000000006</v>
      </c>
      <c r="W72" s="16"/>
      <c r="X72" s="16"/>
      <c r="Y72" s="16"/>
      <c r="Z72" s="16"/>
      <c r="AA72" s="617"/>
      <c r="AB72" s="617"/>
      <c r="AC72" s="18"/>
      <c r="AD72" s="18"/>
      <c r="AE72" s="14">
        <f t="shared" si="43"/>
        <v>-107.60330578512503</v>
      </c>
      <c r="AF72" s="414">
        <f t="shared" si="54"/>
        <v>0.95516528925619792</v>
      </c>
      <c r="AG72" s="615"/>
    </row>
    <row r="73" spans="1:33" ht="16.5" customHeight="1">
      <c r="A73" s="621" t="s">
        <v>1998</v>
      </c>
      <c r="B73" s="29" t="s">
        <v>1989</v>
      </c>
      <c r="C73" s="612"/>
      <c r="D73" s="613"/>
      <c r="E73" s="417"/>
      <c r="F73" s="30"/>
      <c r="G73" s="12"/>
      <c r="H73" s="427"/>
      <c r="I73" s="23">
        <v>15.333333333333334</v>
      </c>
      <c r="J73" s="31">
        <v>2400</v>
      </c>
      <c r="K73" s="12">
        <f t="shared" si="49"/>
        <v>156.52173913043478</v>
      </c>
      <c r="L73" s="23">
        <v>15.333333333333334</v>
      </c>
      <c r="M73" s="13">
        <f>AVERAGE(M67:M72)</f>
        <v>2292.8476195798771</v>
      </c>
      <c r="N73" s="12">
        <f t="shared" si="50"/>
        <v>149.53354040738327</v>
      </c>
      <c r="O73" s="14">
        <f t="shared" si="51"/>
        <v>0</v>
      </c>
      <c r="P73" s="15">
        <f t="shared" si="52"/>
        <v>-6.9881987230515108</v>
      </c>
      <c r="Q73" s="414">
        <f t="shared" si="53"/>
        <v>0.95535317482494864</v>
      </c>
      <c r="R73" s="615"/>
      <c r="S73" s="34"/>
      <c r="T73" s="34"/>
      <c r="U73" s="12"/>
      <c r="V73" s="426"/>
      <c r="W73" s="12"/>
      <c r="X73" s="12"/>
      <c r="Y73" s="24">
        <f>SUM(Y67:Y72)</f>
        <v>0</v>
      </c>
      <c r="Z73" s="24">
        <f>SUM(Z67:Z72)</f>
        <v>0</v>
      </c>
      <c r="AA73" s="614"/>
      <c r="AB73" s="614"/>
      <c r="AC73" s="24">
        <v>6</v>
      </c>
      <c r="AD73" s="24">
        <f>SUM(AD67:AD72)</f>
        <v>0</v>
      </c>
      <c r="AE73" s="14">
        <f t="shared" si="43"/>
        <v>-107.15238042012288</v>
      </c>
      <c r="AF73" s="414">
        <f t="shared" si="54"/>
        <v>0.95535317482494875</v>
      </c>
      <c r="AG73" s="615"/>
    </row>
    <row r="74" spans="1:33">
      <c r="D74" s="25"/>
      <c r="E74" s="25"/>
    </row>
  </sheetData>
  <mergeCells count="19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31:A39"/>
    <mergeCell ref="C31:D31"/>
    <mergeCell ref="R31:R39"/>
    <mergeCell ref="AA31:AB31"/>
    <mergeCell ref="AA36:AB36"/>
    <mergeCell ref="C37:D37"/>
    <mergeCell ref="AG31:AG39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AA39:AB39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40:A48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G62:AG66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A67:A73"/>
    <mergeCell ref="C67:D67"/>
    <mergeCell ref="R67:R73"/>
    <mergeCell ref="AA67:AB67"/>
    <mergeCell ref="AA72:AB72"/>
    <mergeCell ref="C73:D73"/>
    <mergeCell ref="AA73:AB73"/>
    <mergeCell ref="A62:A66"/>
    <mergeCell ref="C62:D62"/>
    <mergeCell ref="R62:R66"/>
    <mergeCell ref="AA62:AB62"/>
    <mergeCell ref="AG67:AG73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</mergeCells>
  <phoneticPr fontId="3" type="noConversion"/>
  <conditionalFormatting sqref="O61:O62 O65:O73 O5:O9 O14:O16 O22:O59">
    <cfRule type="cellIs" dxfId="1426" priority="48" operator="greaterThan">
      <formula>0</formula>
    </cfRule>
  </conditionalFormatting>
  <conditionalFormatting sqref="P5:P7 P65 AE65 P67:P72 P31:P38 P62 P9 P14:P16 P23:P29 P54:P59 P40:P52 AE5:AE62 AE67:AE73">
    <cfRule type="cellIs" dxfId="1425" priority="52" operator="lessThan">
      <formula>0</formula>
    </cfRule>
  </conditionalFormatting>
  <conditionalFormatting sqref="AF65 Q61:Q62 Q65:Q73 Q5:Q9 Q14:Q16 Q22:Q59 AF5:AF62 AF67:AF73">
    <cfRule type="cellIs" dxfId="1424" priority="49" operator="greaterThan">
      <formula>1</formula>
    </cfRule>
    <cfRule type="cellIs" dxfId="1423" priority="50" operator="lessThan">
      <formula>0.8</formula>
    </cfRule>
  </conditionalFormatting>
  <conditionalFormatting sqref="AG15:AG16 R15:R16 AG65 R22:R28 AG22:AG28 AG61:AG62 R61:R62 R65:R73 AG5:AG9 R5:R9 AG30:AG59 R30:R59">
    <cfRule type="cellIs" dxfId="1422" priority="54" operator="lessThan">
      <formula>0.8</formula>
    </cfRule>
  </conditionalFormatting>
  <conditionalFormatting sqref="AG49">
    <cfRule type="cellIs" dxfId="1421" priority="56" operator="lessThan">
      <formula>0.8</formula>
    </cfRule>
  </conditionalFormatting>
  <conditionalFormatting sqref="AG23:AG28">
    <cfRule type="cellIs" dxfId="1420" priority="53" operator="lessThan">
      <formula>0.8</formula>
    </cfRule>
  </conditionalFormatting>
  <conditionalFormatting sqref="AG31">
    <cfRule type="cellIs" dxfId="1419" priority="55" operator="lessThan">
      <formula>0.8</formula>
    </cfRule>
  </conditionalFormatting>
  <conditionalFormatting sqref="AG40:AG47">
    <cfRule type="cellIs" dxfId="1418" priority="51" operator="lessThan">
      <formula>0.8</formula>
    </cfRule>
  </conditionalFormatting>
  <conditionalFormatting sqref="AE66">
    <cfRule type="cellIs" dxfId="1417" priority="47" operator="lessThan">
      <formula>0</formula>
    </cfRule>
  </conditionalFormatting>
  <conditionalFormatting sqref="AF66">
    <cfRule type="cellIs" dxfId="1416" priority="45" operator="greaterThan">
      <formula>1</formula>
    </cfRule>
    <cfRule type="cellIs" dxfId="1415" priority="46" operator="lessThan">
      <formula>0.8</formula>
    </cfRule>
  </conditionalFormatting>
  <conditionalFormatting sqref="O17:O18">
    <cfRule type="cellIs" dxfId="1414" priority="40" operator="greaterThan">
      <formula>0</formula>
    </cfRule>
  </conditionalFormatting>
  <conditionalFormatting sqref="P17:P18">
    <cfRule type="cellIs" dxfId="1413" priority="43" operator="lessThan">
      <formula>0</formula>
    </cfRule>
  </conditionalFormatting>
  <conditionalFormatting sqref="Q17:Q18">
    <cfRule type="cellIs" dxfId="1412" priority="41" operator="greaterThan">
      <formula>1</formula>
    </cfRule>
    <cfRule type="cellIs" dxfId="1411" priority="42" operator="lessThan">
      <formula>0.8</formula>
    </cfRule>
  </conditionalFormatting>
  <conditionalFormatting sqref="R17:R18 AG17:AG18">
    <cfRule type="cellIs" dxfId="1410" priority="44" operator="lessThan">
      <formula>0.8</formula>
    </cfRule>
  </conditionalFormatting>
  <conditionalFormatting sqref="O10:O13">
    <cfRule type="cellIs" dxfId="1409" priority="36" operator="greaterThan">
      <formula>0</formula>
    </cfRule>
  </conditionalFormatting>
  <conditionalFormatting sqref="P10:P13">
    <cfRule type="cellIs" dxfId="1408" priority="39" operator="lessThan">
      <formula>0</formula>
    </cfRule>
  </conditionalFormatting>
  <conditionalFormatting sqref="Q10:Q13">
    <cfRule type="cellIs" dxfId="1407" priority="37" operator="greaterThan">
      <formula>1</formula>
    </cfRule>
    <cfRule type="cellIs" dxfId="1406" priority="38" operator="lessThan">
      <formula>0.8</formula>
    </cfRule>
  </conditionalFormatting>
  <conditionalFormatting sqref="O60">
    <cfRule type="cellIs" dxfId="1405" priority="31" operator="greaterThan">
      <formula>0</formula>
    </cfRule>
  </conditionalFormatting>
  <conditionalFormatting sqref="P60">
    <cfRule type="cellIs" dxfId="1404" priority="34" operator="lessThan">
      <formula>0</formula>
    </cfRule>
  </conditionalFormatting>
  <conditionalFormatting sqref="Q60">
    <cfRule type="cellIs" dxfId="1403" priority="32" operator="greaterThan">
      <formula>1</formula>
    </cfRule>
    <cfRule type="cellIs" dxfId="1402" priority="33" operator="lessThan">
      <formula>0.8</formula>
    </cfRule>
  </conditionalFormatting>
  <conditionalFormatting sqref="R60 AG60">
    <cfRule type="cellIs" dxfId="1401" priority="35" operator="lessThan">
      <formula>0.8</formula>
    </cfRule>
  </conditionalFormatting>
  <conditionalFormatting sqref="O64">
    <cfRule type="cellIs" dxfId="1400" priority="26" operator="greaterThan">
      <formula>0</formula>
    </cfRule>
  </conditionalFormatting>
  <conditionalFormatting sqref="P64 AE64">
    <cfRule type="cellIs" dxfId="1399" priority="29" operator="lessThan">
      <formula>0</formula>
    </cfRule>
  </conditionalFormatting>
  <conditionalFormatting sqref="Q64 AF64">
    <cfRule type="cellIs" dxfId="1398" priority="27" operator="greaterThan">
      <formula>1</formula>
    </cfRule>
    <cfRule type="cellIs" dxfId="1397" priority="28" operator="lessThan">
      <formula>0.8</formula>
    </cfRule>
  </conditionalFormatting>
  <conditionalFormatting sqref="R64 AG64">
    <cfRule type="cellIs" dxfId="1396" priority="30" operator="lessThan">
      <formula>0.8</formula>
    </cfRule>
  </conditionalFormatting>
  <conditionalFormatting sqref="O19:O20">
    <cfRule type="cellIs" dxfId="1395" priority="21" operator="greaterThan">
      <formula>0</formula>
    </cfRule>
  </conditionalFormatting>
  <conditionalFormatting sqref="P19:P20">
    <cfRule type="cellIs" dxfId="1394" priority="24" operator="lessThan">
      <formula>0</formula>
    </cfRule>
  </conditionalFormatting>
  <conditionalFormatting sqref="Q19:Q20">
    <cfRule type="cellIs" dxfId="1393" priority="22" operator="greaterThan">
      <formula>1</formula>
    </cfRule>
    <cfRule type="cellIs" dxfId="1392" priority="23" operator="lessThan">
      <formula>0.8</formula>
    </cfRule>
  </conditionalFormatting>
  <conditionalFormatting sqref="R19:R20 AG19:AG20">
    <cfRule type="cellIs" dxfId="1391" priority="25" operator="lessThan">
      <formula>0.8</formula>
    </cfRule>
  </conditionalFormatting>
  <conditionalFormatting sqref="R29 AG29">
    <cfRule type="cellIs" dxfId="1390" priority="20" operator="lessThan">
      <formula>0.8</formula>
    </cfRule>
  </conditionalFormatting>
  <conditionalFormatting sqref="AG29">
    <cfRule type="cellIs" dxfId="1389" priority="19" operator="lessThan">
      <formula>0.8</formula>
    </cfRule>
  </conditionalFormatting>
  <conditionalFormatting sqref="O63">
    <cfRule type="cellIs" dxfId="1388" priority="14" operator="greaterThan">
      <formula>0</formula>
    </cfRule>
  </conditionalFormatting>
  <conditionalFormatting sqref="P63 AE63">
    <cfRule type="cellIs" dxfId="1387" priority="17" operator="lessThan">
      <formula>0</formula>
    </cfRule>
  </conditionalFormatting>
  <conditionalFormatting sqref="Q63 AF63">
    <cfRule type="cellIs" dxfId="1386" priority="15" operator="greaterThan">
      <formula>1</formula>
    </cfRule>
    <cfRule type="cellIs" dxfId="1385" priority="16" operator="lessThan">
      <formula>0.8</formula>
    </cfRule>
  </conditionalFormatting>
  <conditionalFormatting sqref="R63 AG63">
    <cfRule type="cellIs" dxfId="1384" priority="18" operator="lessThan">
      <formula>0.8</formula>
    </cfRule>
  </conditionalFormatting>
  <conditionalFormatting sqref="O21">
    <cfRule type="cellIs" dxfId="1383" priority="9" operator="greaterThan">
      <formula>0</formula>
    </cfRule>
  </conditionalFormatting>
  <conditionalFormatting sqref="P21">
    <cfRule type="cellIs" dxfId="1382" priority="12" operator="lessThan">
      <formula>0</formula>
    </cfRule>
  </conditionalFormatting>
  <conditionalFormatting sqref="Q21">
    <cfRule type="cellIs" dxfId="1381" priority="10" operator="greaterThan">
      <formula>1</formula>
    </cfRule>
    <cfRule type="cellIs" dxfId="1380" priority="11" operator="lessThan">
      <formula>0.8</formula>
    </cfRule>
  </conditionalFormatting>
  <conditionalFormatting sqref="AG21 R21">
    <cfRule type="cellIs" dxfId="1379" priority="13" operator="lessThan">
      <formula>0.8</formula>
    </cfRule>
  </conditionalFormatting>
  <conditionalFormatting sqref="P8">
    <cfRule type="cellIs" dxfId="1378" priority="8" operator="lessThan">
      <formula>0</formula>
    </cfRule>
  </conditionalFormatting>
  <conditionalFormatting sqref="P22">
    <cfRule type="cellIs" dxfId="1377" priority="7" operator="lessThan">
      <formula>0</formula>
    </cfRule>
  </conditionalFormatting>
  <conditionalFormatting sqref="P30">
    <cfRule type="cellIs" dxfId="1376" priority="6" operator="lessThan">
      <formula>0</formula>
    </cfRule>
  </conditionalFormatting>
  <conditionalFormatting sqref="P39">
    <cfRule type="cellIs" dxfId="1375" priority="5" operator="lessThan">
      <formula>0</formula>
    </cfRule>
  </conditionalFormatting>
  <conditionalFormatting sqref="P53">
    <cfRule type="cellIs" dxfId="1374" priority="4" operator="lessThan">
      <formula>0</formula>
    </cfRule>
  </conditionalFormatting>
  <conditionalFormatting sqref="P61">
    <cfRule type="cellIs" dxfId="1373" priority="3" operator="lessThan">
      <formula>0</formula>
    </cfRule>
  </conditionalFormatting>
  <conditionalFormatting sqref="P66">
    <cfRule type="cellIs" dxfId="1372" priority="2" operator="lessThan">
      <formula>0</formula>
    </cfRule>
  </conditionalFormatting>
  <conditionalFormatting sqref="P73">
    <cfRule type="cellIs" dxfId="1371" priority="1" operator="lessThan">
      <formula>0</formula>
    </cfRule>
  </conditionalFormatting>
  <dataValidations count="1">
    <dataValidation type="list" allowBlank="1" showInputMessage="1" showErrorMessage="1" sqref="AB8 AA5:AB7 AA8:AA65 AB10:AB62 AA66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7" sqref="I7:J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1836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1837</v>
      </c>
      <c r="C3" s="601" t="str">
        <f>TEXT('0621 4度C'!A2,"yyyy.mm.ddaaaa")</f>
        <v>2026.06.21星期日</v>
      </c>
      <c r="D3" s="602"/>
      <c r="E3" s="39" t="s">
        <v>90</v>
      </c>
      <c r="F3" s="603">
        <f>'0621 4度C'!D1</f>
        <v>201935</v>
      </c>
      <c r="G3" s="604"/>
      <c r="H3" s="39" t="s">
        <v>1838</v>
      </c>
      <c r="I3" s="605">
        <f>'0621 4度C'!F1</f>
        <v>6946859.5099999988</v>
      </c>
      <c r="J3" s="606"/>
      <c r="K3" s="40"/>
      <c r="L3" s="41"/>
      <c r="M3" s="42"/>
      <c r="N3" s="42"/>
    </row>
    <row r="4" spans="2:17" ht="28.5" customHeight="1">
      <c r="B4" s="607" t="s">
        <v>1839</v>
      </c>
      <c r="C4" s="593" t="s">
        <v>1840</v>
      </c>
      <c r="D4" s="594"/>
      <c r="E4" s="610" t="s">
        <v>191</v>
      </c>
      <c r="F4" s="611"/>
      <c r="G4" s="610" t="s">
        <v>1841</v>
      </c>
      <c r="H4" s="611"/>
      <c r="I4" s="610" t="s">
        <v>1842</v>
      </c>
      <c r="J4" s="611"/>
      <c r="K4" s="591" t="s">
        <v>1843</v>
      </c>
      <c r="L4" s="592"/>
      <c r="M4" s="592" t="s">
        <v>1844</v>
      </c>
      <c r="N4" s="592"/>
    </row>
    <row r="5" spans="2:17" ht="28.5" customHeight="1">
      <c r="B5" s="608"/>
      <c r="C5" s="593" t="s">
        <v>1845</v>
      </c>
      <c r="D5" s="594"/>
      <c r="E5" s="593" t="s">
        <v>1846</v>
      </c>
      <c r="F5" s="594"/>
      <c r="G5" s="595" t="s">
        <v>1847</v>
      </c>
      <c r="H5" s="596"/>
      <c r="I5" s="597" t="s">
        <v>1848</v>
      </c>
      <c r="J5" s="598"/>
      <c r="K5" s="43" t="s">
        <v>1849</v>
      </c>
      <c r="L5" s="44" t="s">
        <v>1850</v>
      </c>
      <c r="M5" s="43" t="s">
        <v>1851</v>
      </c>
      <c r="N5" s="44" t="s">
        <v>1852</v>
      </c>
    </row>
    <row r="6" spans="2:17" ht="28.5" customHeight="1">
      <c r="B6" s="608"/>
      <c r="C6" s="593" t="s">
        <v>58</v>
      </c>
      <c r="D6" s="594"/>
      <c r="E6" s="585">
        <f>AVERAGE(D13:M13)</f>
        <v>153.47233202786751</v>
      </c>
      <c r="F6" s="586">
        <f>AVERAGE(D31:O31,D13:J13)</f>
        <v>159.80418967619781</v>
      </c>
      <c r="G6" s="587">
        <f>AVERAGE(D13:J13)</f>
        <v>159.80418967619781</v>
      </c>
      <c r="H6" s="588"/>
      <c r="I6" s="587">
        <f>AVERAGE(K13:M13)</f>
        <v>138.69799751509689</v>
      </c>
      <c r="J6" s="588"/>
      <c r="K6" s="589">
        <f>'0621 4度C'!Y2</f>
        <v>0</v>
      </c>
      <c r="L6" s="574">
        <f>'0621 4度C'!Z2</f>
        <v>0</v>
      </c>
      <c r="M6" s="590">
        <f>'0621 4度C'!AC2</f>
        <v>60</v>
      </c>
      <c r="N6" s="574">
        <f>'0621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146.68788388913543</v>
      </c>
      <c r="F7" s="578">
        <f>AVERAGE(D32:O32,D14:J14)</f>
        <v>152.74807074695761</v>
      </c>
      <c r="G7" s="579">
        <f>AVERAGE(D14:J14)</f>
        <v>152.74807074695761</v>
      </c>
      <c r="H7" s="580"/>
      <c r="I7" s="579">
        <f>AVERAGE(K14:M14)</f>
        <v>132.54744788755036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0.95605575227359307</v>
      </c>
      <c r="F8" s="582">
        <f>AVERAGE(D15:J15,D33:O33)</f>
        <v>0.9562146121464189</v>
      </c>
      <c r="G8" s="583">
        <f>AVERAGE(D15:J15)</f>
        <v>0.9562146121464189</v>
      </c>
      <c r="H8" s="584"/>
      <c r="I8" s="583">
        <f>AVERAGE(K15:M15)</f>
        <v>0.95568507923699908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104</v>
      </c>
      <c r="N9" s="42"/>
      <c r="O9" s="42"/>
      <c r="P9" s="42"/>
      <c r="Q9" s="42"/>
    </row>
    <row r="10" spans="2:17" ht="30" customHeight="1">
      <c r="B10" s="557" t="s">
        <v>1853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1854</v>
      </c>
      <c r="L10" s="563"/>
      <c r="M10" s="564"/>
      <c r="P10" s="48"/>
      <c r="Q10" s="48"/>
    </row>
    <row r="11" spans="2:17" ht="17.25" customHeight="1">
      <c r="B11" s="565" t="s">
        <v>1855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1856</v>
      </c>
      <c r="C13" s="55" t="s">
        <v>1857</v>
      </c>
      <c r="D13" s="56">
        <f>SUMIFS('0621 4度C'!$K:$K,'0621 4度C'!$A:$A,"新豐6線",'0621 4度C'!$B:$B,"平均")</f>
        <v>130.43478260869566</v>
      </c>
      <c r="E13" s="57">
        <f>SUMIFS('0621 4度C'!$K:$K,'0621 4度C'!$A:$A,"新豐2線",'0621 4度C'!$B:$B,"平均")</f>
        <v>85.22727272727272</v>
      </c>
      <c r="F13" s="58">
        <f>SUMIFS('0621 4度C'!$K:$K,'0621 4度C'!$A:$A,"新豐5線",'0621 4度C'!$B:$B,"平均")</f>
        <v>87.786259541984734</v>
      </c>
      <c r="G13" s="58">
        <f>SUMIFS('0621 4度C'!$K:$K,'0621 4度C'!$A:$A,"新豐7線",'0621 4度C'!$B:$B,"平均")</f>
        <v>115.38461538461539</v>
      </c>
      <c r="H13" s="58">
        <f>SUMIFS('0621 4度C'!$K:$K,'0621 4度C'!$A:$A,"新豐3線",'0621 4度C'!$B:$B,"平均")</f>
        <v>255.81395348837211</v>
      </c>
      <c r="I13" s="58">
        <f>SUMIFS('0621 4度C'!$K:$K,'0621 4度C'!$A:$A,"新豐1線",'0621 4度C'!$B:$B,"平均")</f>
        <v>119.65811965811965</v>
      </c>
      <c r="J13" s="59">
        <f>SUMIFS('0621 4度C'!$K:$K,'0621 4度C'!$A:$A,"新豐10線",'0621 4度C'!$B:$B,"平均")</f>
        <v>324.32432432432432</v>
      </c>
      <c r="K13" s="60">
        <f>SUMIFS('0621 4度C'!$K:$K,'0621 4度C'!$A:$A,"新豐8線",'0621 4度C'!$B:$B,"平均")</f>
        <v>137.14285714285714</v>
      </c>
      <c r="L13" s="61">
        <f>SUMIFS('0621 4度C'!$K:$K,'0621 4度C'!$A:$A,"新豐9線",'0621 4度C'!$B:$B,"平均")</f>
        <v>124.822695035461</v>
      </c>
      <c r="M13" s="59">
        <f>SUMIFS('0621 4度C'!$K:$K,'0621 4度C'!$A:$A,"新豐4線",'0621 4度C'!$B:$B,"平均")</f>
        <v>154.12844036697248</v>
      </c>
    </row>
    <row r="14" spans="2:17" ht="39.6" customHeight="1">
      <c r="B14" s="570"/>
      <c r="C14" s="62" t="s">
        <v>1858</v>
      </c>
      <c r="D14" s="63">
        <f>SUMIFS('0621 4度C'!$N:$N,'0621 4度C'!$A:$A,"新豐6線",'0621 4度C'!$B:$B,"平均")</f>
        <v>124.54797520461598</v>
      </c>
      <c r="E14" s="64">
        <f>SUMIFS('0621 4度C'!$N:$N,'0621 4度C'!$A:$A,"新豐2線",'0621 4度C'!$B:$B,"平均")</f>
        <v>81.448256665676269</v>
      </c>
      <c r="F14" s="64">
        <f>SUMIFS('0621 4度C'!$N:$N,'0621 4度C'!$A:$A,"新豐5線",'0621 4度C'!$B:$B,"平均")</f>
        <v>84.023874002384957</v>
      </c>
      <c r="G14" s="64">
        <f>SUMIFS('0621 4度C'!$N:$N,'0621 4度C'!$A:$A,"新豐7線",'0621 4度C'!$B:$B,"平均")</f>
        <v>110.32603699677988</v>
      </c>
      <c r="H14" s="64">
        <f>SUMIFS('0621 4度C'!$N:$N,'0621 4度C'!$A:$A,"新豐3線",'0621 4度C'!$B:$B,"平均")</f>
        <v>244.47705818240519</v>
      </c>
      <c r="I14" s="64">
        <f>SUMIFS('0621 4度C'!$N:$N,'0621 4度C'!$A:$A,"新豐1線",'0621 4度C'!$B:$B,"平均")</f>
        <v>114.79059232138052</v>
      </c>
      <c r="J14" s="65">
        <f>SUMIFS('0621 4度C'!$N:$N,'0621 4度C'!$A:$A,"新豐10線",'0621 4度C'!$B:$B,"平均")</f>
        <v>309.62270185546055</v>
      </c>
      <c r="K14" s="66">
        <f>SUMIFS('0621 4度C'!$N:$N,'0621 4度C'!$A:$A,"新豐8線",'0621 4度C'!$B:$B,"平均")</f>
        <v>131.19016793718043</v>
      </c>
      <c r="L14" s="67">
        <f>SUMIFS('0621 4度C'!$N:$N,'0621 4度C'!$A:$A,"新豐9線",'0621 4度C'!$B:$B,"平均")</f>
        <v>119.27850067070112</v>
      </c>
      <c r="M14" s="65">
        <f>SUMIFS('0621 4度C'!$N:$N,'0621 4度C'!$A:$A,"新豐4線",'0621 4度C'!$B:$B,"平均")</f>
        <v>147.17367505476949</v>
      </c>
    </row>
    <row r="15" spans="2:17" ht="40.15" customHeight="1">
      <c r="B15" s="571"/>
      <c r="C15" s="68" t="s">
        <v>1859</v>
      </c>
      <c r="D15" s="69">
        <f t="shared" ref="D15:M15" si="0">D14/D13</f>
        <v>0.95486780990205578</v>
      </c>
      <c r="E15" s="70">
        <f t="shared" si="0"/>
        <v>0.95565954487726834</v>
      </c>
      <c r="F15" s="70">
        <f t="shared" si="0"/>
        <v>0.95714152124455909</v>
      </c>
      <c r="G15" s="70">
        <f t="shared" si="0"/>
        <v>0.95615898730542559</v>
      </c>
      <c r="H15" s="70">
        <f t="shared" si="0"/>
        <v>0.95568304562212936</v>
      </c>
      <c r="I15" s="70">
        <f t="shared" si="0"/>
        <v>0.95932137868582301</v>
      </c>
      <c r="J15" s="71">
        <f t="shared" si="0"/>
        <v>0.95466999738767</v>
      </c>
      <c r="K15" s="69">
        <f t="shared" si="0"/>
        <v>0.95659497454194065</v>
      </c>
      <c r="L15" s="70">
        <f t="shared" si="0"/>
        <v>0.9555834428732306</v>
      </c>
      <c r="M15" s="71">
        <f t="shared" si="0"/>
        <v>0.95487682029582577</v>
      </c>
    </row>
    <row r="16" spans="2:17" ht="17.25" customHeight="1">
      <c r="B16" s="572" t="s">
        <v>305</v>
      </c>
      <c r="C16" s="72" t="s">
        <v>114</v>
      </c>
      <c r="D16" s="73">
        <f>VLOOKUP("新豐6線",'0621 4度C'!$A:$T,19,0)</f>
        <v>0.70833333333333337</v>
      </c>
      <c r="E16" s="74">
        <f>VLOOKUP("新豐2線",'0621 4度C'!$A:$T,19,0)</f>
        <v>8.3333333333333329E-2</v>
      </c>
      <c r="F16" s="74">
        <f>VLOOKUP("新豐5線",'0621 4度C'!$A:$T,19,0)</f>
        <v>8.3333333333333329E-2</v>
      </c>
      <c r="G16" s="74">
        <f>VLOOKUP("新豐7線",'0621 4度C'!$A:$T,19,0)</f>
        <v>0.20833333333333334</v>
      </c>
      <c r="H16" s="74">
        <f>VLOOKUP("新豐3線",'0621 4度C'!$A:$T,19,0)</f>
        <v>8.3333333333333329E-2</v>
      </c>
      <c r="I16" s="74">
        <f>VLOOKUP("新豐1線",'0621 4度C'!$A:$T,19,0)</f>
        <v>0.16666666666666666</v>
      </c>
      <c r="J16" s="75">
        <f>VLOOKUP("新豐10線",'0621 4度C'!$A:$T,19,0)</f>
        <v>0.20833333333333334</v>
      </c>
      <c r="K16" s="76">
        <f>VLOOKUP("新豐8線",'0621 4度C'!$A:$T,19,0)</f>
        <v>8.3333333333333329E-2</v>
      </c>
      <c r="L16" s="77">
        <f>VLOOKUP("新豐9線",'0621 4度C'!$A:$T,19,0)</f>
        <v>8.3333333333333329E-2</v>
      </c>
      <c r="M16" s="78">
        <f>VLOOKUP("新豐4線",'0621 4度C'!$A:$T,19,0)</f>
        <v>8.3333333333333329E-2</v>
      </c>
    </row>
    <row r="17" spans="2:13" ht="17.25" customHeight="1">
      <c r="B17" s="573"/>
      <c r="C17" s="72" t="s">
        <v>1860</v>
      </c>
      <c r="D17" s="76">
        <f>LOOKUP(2,1/(('0621 4度C'!$A:$A="新豐6線")*('0621 4度C'!$T:$T&lt;&gt;"")),'0621 4度C'!$T:$T)</f>
        <v>0.85069444444444453</v>
      </c>
      <c r="E17" s="74">
        <f>LOOKUP(2,1/(('0621 4度C'!$A:$A="新豐2線")*('0621 4度C'!$T:$T&lt;&gt;"")),'0621 4度C'!$T:$T)</f>
        <v>0.76249999999999996</v>
      </c>
      <c r="F17" s="74">
        <f>LOOKUP(2,1/(('0621 4度C'!$A:$A="新豐5線")*('0621 4度C'!$T:$T&lt;&gt;"")),'0621 4度C'!$T:$T)</f>
        <v>0.81319444444444444</v>
      </c>
      <c r="G17" s="74">
        <f>LOOKUP(2,1/(('0621 4度C'!$A:$A="新豐7線")*('0621 4度C'!$T:$T&lt;&gt;"")),'0621 4度C'!$T:$T)</f>
        <v>0.82986111111111105</v>
      </c>
      <c r="H17" s="74">
        <f>LOOKUP(2,1/(('0621 4度C'!$A:$A="新豐3線")*('0621 4度C'!$T:$T&lt;&gt;"")),'0621 4度C'!$T:$T)</f>
        <v>0.39930555555555558</v>
      </c>
      <c r="I17" s="74">
        <f>LOOKUP(2,1/(('0621 4度C'!$A:$A="新豐1線")*('0621 4度C'!$T:$T&lt;&gt;"")),'0621 4度C'!$T:$T)</f>
        <v>0.85624999999999996</v>
      </c>
      <c r="J17" s="75">
        <f>LOOKUP(2,1/(('0621 4度C'!$A:$A="新豐10線")*('0621 4度C'!$T:$T&lt;&gt;"")),'0621 4度C'!$T:$T)</f>
        <v>0.38263888888888886</v>
      </c>
      <c r="K17" s="73">
        <f>LOOKUP(2,1/(('0621 4度C'!$A:$A="新豐8線")*('0621 4度C'!$T:$T&lt;&gt;"")),'0621 4度C'!$T:$T)</f>
        <v>0.76805555555555549</v>
      </c>
      <c r="L17" s="74">
        <f>LOOKUP(2,1/(('0621 4度C'!$A:$A="新豐9線")*('0621 4度C'!$T:$T&lt;&gt;"")),'0621 4度C'!$T:$T)</f>
        <v>0.75347222222222221</v>
      </c>
      <c r="M17" s="75">
        <f>LOOKUP(2,1/(('0621 4度C'!$A:$A="新豐4線")*('0621 4度C'!$T:$T&lt;&gt;"")),'0621 4度C'!$T:$T)</f>
        <v>0.71319444444444435</v>
      </c>
    </row>
    <row r="18" spans="2:13" ht="17.25" customHeight="1">
      <c r="B18" s="551" t="s">
        <v>1861</v>
      </c>
      <c r="C18" s="79" t="s">
        <v>1862</v>
      </c>
      <c r="D18" s="80">
        <f>SUMIFS('0621 4度C'!$Y:$Y,'0621 4度C'!$A:$A,"新豐6線",'0621 4度C'!$B:$B,"平均")</f>
        <v>0</v>
      </c>
      <c r="E18" s="81">
        <f>SUMIFS('0621 4度C'!$Y:$Y,'0621 4度C'!$A:$A,"新豐2線",'0621 4度C'!$B:$B,"平均")</f>
        <v>0</v>
      </c>
      <c r="F18" s="81">
        <f>SUMIFS('0621 4度C'!$Y:$Y,'0621 4度C'!$A:$A,"新豐5線",'0621 4度C'!$B:$B,"平均")</f>
        <v>0</v>
      </c>
      <c r="G18" s="81">
        <f>SUMIFS('0621 4度C'!$Y:$Y,'0621 4度C'!$A:$A,"新豐7線",'0621 4度C'!$B:$B,"平均")</f>
        <v>0</v>
      </c>
      <c r="H18" s="81">
        <f>SUMIFS('0621 4度C'!$Y:$Y,'0621 4度C'!$A:$A,"新豐3線",'0621 4度C'!$B:$B,"平均")</f>
        <v>0</v>
      </c>
      <c r="I18" s="81">
        <f>SUMIFS('0621 4度C'!$Y:$Y,'0621 4度C'!$A:$A,"新豐1線",'0621 4度C'!$B:$B,"平均")</f>
        <v>0</v>
      </c>
      <c r="J18" s="82">
        <f>SUMIFS('0621 4度C'!$Y:$Y,'0621 4度C'!$A:$A,"新豐10線",'0621 4度C'!$B:$B,"平均")</f>
        <v>0</v>
      </c>
      <c r="K18" s="83">
        <f>SUMIFS('0621 4度C'!$Y:$Y,'0621 4度C'!$A:$A,"新豐8線",'0621 4度C'!$B:$B,"平均")</f>
        <v>0</v>
      </c>
      <c r="L18" s="81">
        <f>SUMIFS('0621 4度C'!$Y:$Y,'0621 4度C'!$A:$A,"新豐9線",'0621 4度C'!$B:$B,"平均")</f>
        <v>0</v>
      </c>
      <c r="M18" s="82">
        <f>SUMIFS('0621 4度C'!$Y:$Y,'0621 4度C'!$A:$A,"新豐4線",'0621 4度C'!$B:$B,"平均")</f>
        <v>0</v>
      </c>
    </row>
    <row r="19" spans="2:13" ht="17.25" customHeight="1">
      <c r="B19" s="552"/>
      <c r="C19" s="79" t="s">
        <v>1863</v>
      </c>
      <c r="D19" s="80">
        <f>SUMIFS('0621 4度C'!$Z:$Z,'0621 4度C'!$A:$A,"新豐6線",'0621 4度C'!$B:$B,"平均")</f>
        <v>0</v>
      </c>
      <c r="E19" s="81">
        <f>SUMIFS('0621 4度C'!$Z:$Z,'0621 4度C'!$A:$A,"新豐2線",'0621 4度C'!$B:$B,"平均")</f>
        <v>0</v>
      </c>
      <c r="F19" s="81">
        <f>SUMIFS('0621 4度C'!$Z:$Z,'0621 4度C'!$A:$A,"新豐5線",'0621 4度C'!$B:$B,"平均")</f>
        <v>0</v>
      </c>
      <c r="G19" s="81">
        <f>SUMIFS('0621 4度C'!$Z:$Z,'0621 4度C'!$A:$A,"新豐7線",'0621 4度C'!$B:$B,"平均")</f>
        <v>0</v>
      </c>
      <c r="H19" s="81">
        <f>SUMIFS('0621 4度C'!$Z:$Z,'0621 4度C'!$A:$A,"新豐3線",'0621 4度C'!$B:$B,"平均")</f>
        <v>0</v>
      </c>
      <c r="I19" s="81">
        <f>SUMIFS('0621 4度C'!$Z:$Z,'0621 4度C'!$A:$A,"新豐1線",'0621 4度C'!$B:$B,"平均")</f>
        <v>0</v>
      </c>
      <c r="J19" s="82">
        <f>SUMIFS('0621 4度C'!$Z:$Z,'0621 4度C'!$A:$A,"新豐10線",'0621 4度C'!$B:$B,"平均")</f>
        <v>0</v>
      </c>
      <c r="K19" s="83">
        <f>SUMIFS('0621 4度C'!$Z:$Z,'0621 4度C'!$A:$A,"新豐8線",'0621 4度C'!$B:$B,"平均")</f>
        <v>0</v>
      </c>
      <c r="L19" s="81">
        <f>SUMIFS('0621 4度C'!$Z:$Z,'0621 4度C'!$A:$A,"新豐9線",'0621 4度C'!$B:$B,"平均")</f>
        <v>0</v>
      </c>
      <c r="M19" s="82">
        <f>SUMIFS('0621 4度C'!$Z:$Z,'0621 4度C'!$A:$A,"新豐4線",'0621 4度C'!$B:$B,"平均")</f>
        <v>0</v>
      </c>
    </row>
    <row r="20" spans="2:13" ht="17.25" customHeight="1">
      <c r="B20" s="551" t="s">
        <v>1864</v>
      </c>
      <c r="C20" s="79" t="s">
        <v>1862</v>
      </c>
      <c r="D20" s="80">
        <f>SUMIFS('0621 4度C'!$AC:$AC,'0621 4度C'!$A:$A,"新豐6線",'0621 4度C'!$B:$B,"平均")</f>
        <v>3</v>
      </c>
      <c r="E20" s="81">
        <f>SUMIFS('0621 4度C'!$AC:$AC,'0621 4度C'!$A:$A,"新豐2線",'0621 4度C'!$B:$B,"平均")</f>
        <v>5</v>
      </c>
      <c r="F20" s="81">
        <f>SUMIFS('0621 4度C'!$AC:$AC,'0621 4度C'!$A:$A,"新豐5線",'0621 4度C'!$B:$B,"平均")</f>
        <v>7</v>
      </c>
      <c r="G20" s="81">
        <f>SUMIFS('0621 4度C'!$AC:$AC,'0621 4度C'!$A:$A,"新豐7線",'0621 4度C'!$B:$B,"平均")</f>
        <v>7</v>
      </c>
      <c r="H20" s="81">
        <f>SUMIFS('0621 4度C'!$AC:$AC,'0621 4度C'!$A:$A,"新豐3線",'0621 4度C'!$B:$B,"平均")</f>
        <v>4</v>
      </c>
      <c r="I20" s="81">
        <f>SUMIFS('0621 4度C'!$AC:$AC,'0621 4度C'!$A:$A,"新豐1線",'0621 4度C'!$B:$B,"平均")</f>
        <v>7</v>
      </c>
      <c r="J20" s="82">
        <f>SUMIFS('0621 4度C'!$AC:$AC,'0621 4度C'!$A:$A,"新豐10線",'0621 4度C'!$B:$B,"平均")</f>
        <v>4</v>
      </c>
      <c r="K20" s="83">
        <f>SUMIFS('0621 4度C'!$AC:$AC,'0621 4度C'!$A:$A,"新豐8線",'0621 4度C'!$B:$B,"平均")</f>
        <v>8</v>
      </c>
      <c r="L20" s="81">
        <f>SUMIFS('0621 4度C'!$AC:$AC,'0621 4度C'!$A:$A,"新豐9線",'0621 4度C'!$B:$B,"平均")</f>
        <v>8</v>
      </c>
      <c r="M20" s="82">
        <f>SUMIFS('0621 4度C'!$AC:$AC,'0621 4度C'!$A:$A,"新豐4線",'0621 4度C'!$B:$B,"平均")</f>
        <v>7</v>
      </c>
    </row>
    <row r="21" spans="2:13" ht="17.25" customHeight="1">
      <c r="B21" s="552"/>
      <c r="C21" s="79" t="s">
        <v>1865</v>
      </c>
      <c r="D21" s="80">
        <f>SUMIFS('0621 4度C'!$AD:$AD,'0621 4度C'!$A:$A,"新豐6線",'0621 4度C'!$B:$B,"平均")</f>
        <v>0</v>
      </c>
      <c r="E21" s="81">
        <f>SUMIFS('0621 4度C'!$AD:$AD,'0621 4度C'!$A:$A,"新豐2線",'0621 4度C'!$B:$B,"平均")</f>
        <v>0</v>
      </c>
      <c r="F21" s="81">
        <f>SUMIFS('0621 4度C'!$AD:$AD,'0621 4度C'!$A:$A,"新豐5線",'0621 4度C'!$B:$B,"平均")</f>
        <v>0</v>
      </c>
      <c r="G21" s="81">
        <f>SUMIFS('0621 4度C'!$AD:$AD,'0621 4度C'!$A:$A,"新豐7線",'0621 4度C'!$B:$B,"平均")</f>
        <v>0</v>
      </c>
      <c r="H21" s="81">
        <f>SUMIFS('0621 4度C'!$AD:$AD,'0621 4度C'!$A:$A,"新豐3線",'0621 4度C'!$B:$B,"平均")</f>
        <v>0</v>
      </c>
      <c r="I21" s="81">
        <f>SUMIFS('0621 4度C'!$AD:$AD,'0621 4度C'!$A:$A,"新豐1線",'0621 4度C'!$B:$B,"平均")</f>
        <v>0</v>
      </c>
      <c r="J21" s="82">
        <f>SUMIFS('0621 4度C'!$AD:$AD,'0621 4度C'!$A:$A,"新豐10線",'0621 4度C'!$B:$B,"平均")</f>
        <v>0</v>
      </c>
      <c r="K21" s="83">
        <f>SUMIFS('0621 4度C'!$AD:$AD,'0621 4度C'!$A:$A,"新豐8線",'0621 4度C'!$B:$B,"平均")</f>
        <v>0</v>
      </c>
      <c r="L21" s="81">
        <f>SUMIFS('0621 4度C'!$AD:$AD,'0621 4度C'!$A:$A,"新豐9線",'0621 4度C'!$B:$B,"平均")</f>
        <v>0</v>
      </c>
      <c r="M21" s="82">
        <f>SUMIFS('0621 4度C'!$AD:$AD,'0621 4度C'!$A:$A,"新豐4線",'0621 4度C'!$B:$B,"平均")</f>
        <v>0</v>
      </c>
    </row>
    <row r="22" spans="2:13" ht="17.25" customHeight="1">
      <c r="B22" s="553" t="s">
        <v>1866</v>
      </c>
      <c r="C22" s="554"/>
      <c r="D22" s="84">
        <f>SUMIFS('0621 4度C'!$I:$I,'0621 4度C'!$A:$A,"新豐6線",'0621 4度C'!$B:$B,"平均")</f>
        <v>15.333333333333334</v>
      </c>
      <c r="E22" s="85">
        <f>SUMIFS('0621 4度C'!$I:$I,'0621 4度C'!$A:$A,"新豐2線",'0621 4度C'!$B:$B,"平均")</f>
        <v>17.600000000000001</v>
      </c>
      <c r="F22" s="85">
        <f>SUMIFS('0621 4度C'!$I:$I,'0621 4度C'!$A:$A,"新豐5線",'0621 4度C'!$B:$B,"平均")</f>
        <v>18.714285714285715</v>
      </c>
      <c r="G22" s="85">
        <f>SUMIFS('0621 4度C'!$I:$I,'0621 4度C'!$A:$A,"新豐7線",'0621 4度C'!$B:$B,"平均")</f>
        <v>16.714285714285715</v>
      </c>
      <c r="H22" s="85">
        <f>SUMIFS('0621 4度C'!$I:$I,'0621 4度C'!$A:$A,"新豐3線",'0621 4度C'!$B:$B,"平均")</f>
        <v>10.75</v>
      </c>
      <c r="I22" s="85">
        <f>SUMIFS('0621 4度C'!$I:$I,'0621 4度C'!$A:$A,"新豐1線",'0621 4度C'!$B:$B,"平均")</f>
        <v>16.714285714285715</v>
      </c>
      <c r="J22" s="86">
        <f>SUMIFS('0621 4度C'!$I:$I,'0621 4度C'!$A:$A,"新豐10線",'0621 4度C'!$B:$B,"平均")</f>
        <v>9.25</v>
      </c>
      <c r="K22" s="84">
        <f>SUMIFS('0621 4度C'!$I:$I,'0621 4度C'!$A:$A,"新豐8線",'0621 4度C'!$B:$B,"平均")</f>
        <v>17.5</v>
      </c>
      <c r="L22" s="85">
        <f>SUMIFS('0621 4度C'!$I:$I,'0621 4度C'!$A:$A,"新豐9線",'0621 4度C'!$B:$B,"平均")</f>
        <v>17.625</v>
      </c>
      <c r="M22" s="86">
        <f>SUMIFS('0621 4度C'!$I:$I,'0621 4度C'!$A:$A,"新豐4線",'0621 4度C'!$B:$B,"平均")</f>
        <v>15.571428571428571</v>
      </c>
    </row>
    <row r="23" spans="2:13" ht="17.25" customHeight="1">
      <c r="B23" s="553" t="s">
        <v>122</v>
      </c>
      <c r="C23" s="554"/>
      <c r="D23" s="87" t="s">
        <v>71</v>
      </c>
      <c r="E23" s="88" t="s">
        <v>72</v>
      </c>
      <c r="F23" s="88" t="s">
        <v>1867</v>
      </c>
      <c r="G23" s="88" t="s">
        <v>1867</v>
      </c>
      <c r="H23" s="88" t="s">
        <v>73</v>
      </c>
      <c r="I23" s="88" t="s">
        <v>71</v>
      </c>
      <c r="J23" s="89" t="s">
        <v>73</v>
      </c>
      <c r="K23" s="87" t="s">
        <v>219</v>
      </c>
      <c r="L23" s="88" t="s">
        <v>1868</v>
      </c>
      <c r="M23" s="89" t="s">
        <v>1869</v>
      </c>
    </row>
    <row r="24" spans="2:13" ht="17.25" customHeight="1">
      <c r="B24" s="553" t="s">
        <v>1870</v>
      </c>
      <c r="C24" s="554"/>
      <c r="D24" s="87"/>
      <c r="E24" s="88"/>
      <c r="F24" s="88" t="s">
        <v>1871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1872</v>
      </c>
      <c r="C25" s="556"/>
      <c r="D25" s="90"/>
      <c r="E25" s="91" t="s">
        <v>1873</v>
      </c>
      <c r="F25" s="549" t="s">
        <v>1874</v>
      </c>
      <c r="G25" s="550"/>
      <c r="H25" s="91" t="s">
        <v>1875</v>
      </c>
      <c r="I25" s="91" t="s">
        <v>1876</v>
      </c>
      <c r="J25" s="92" t="s">
        <v>1875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37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5"/>
  <sheetViews>
    <sheetView zoomScale="80" zoomScaleNormal="80" workbookViewId="0">
      <pane ySplit="4" topLeftCell="A5" activePane="bottomLeft" state="frozen"/>
      <selection activeCell="L3" sqref="L3"/>
      <selection pane="bottomLeft" activeCell="J6" sqref="J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1877</v>
      </c>
      <c r="B1" s="1"/>
      <c r="C1" s="2" t="s">
        <v>133</v>
      </c>
      <c r="D1" s="3">
        <f>SUM(F5:F74)</f>
        <v>201935</v>
      </c>
      <c r="E1" s="400" t="s">
        <v>1878</v>
      </c>
      <c r="F1" s="1">
        <f>SUM(G5:G74)</f>
        <v>6946859.5099999988</v>
      </c>
      <c r="G1" s="1" t="s">
        <v>1879</v>
      </c>
      <c r="H1" s="4">
        <f>L8+L14+L53+L61+L22+L66+L39+L48+L30+L74</f>
        <v>155.77261904761906</v>
      </c>
      <c r="I1" s="663" t="s">
        <v>1880</v>
      </c>
      <c r="J1" s="663"/>
      <c r="K1" s="663"/>
      <c r="L1" s="663" t="s">
        <v>1881</v>
      </c>
      <c r="M1" s="663"/>
      <c r="N1" s="663"/>
      <c r="O1" s="663" t="s">
        <v>1882</v>
      </c>
      <c r="P1" s="663"/>
      <c r="Q1" s="663"/>
      <c r="R1" s="663"/>
      <c r="S1" s="663" t="s">
        <v>1883</v>
      </c>
      <c r="T1" s="663"/>
      <c r="U1" s="663"/>
      <c r="V1" s="663"/>
      <c r="W1" s="663"/>
      <c r="X1" s="663"/>
      <c r="Y1" s="5" t="s">
        <v>1884</v>
      </c>
      <c r="Z1" s="6" t="s">
        <v>1885</v>
      </c>
      <c r="AA1" s="664" t="s">
        <v>1886</v>
      </c>
      <c r="AB1" s="664"/>
      <c r="AC1" s="188" t="s">
        <v>1884</v>
      </c>
      <c r="AD1" s="6" t="s">
        <v>1887</v>
      </c>
      <c r="AE1" s="663" t="s">
        <v>1888</v>
      </c>
      <c r="AF1" s="665"/>
      <c r="AG1" s="665"/>
    </row>
    <row r="2" spans="1:33" ht="26.25" customHeight="1">
      <c r="A2" s="27">
        <v>46194</v>
      </c>
      <c r="B2" s="28" t="s">
        <v>710</v>
      </c>
      <c r="C2" s="2" t="s">
        <v>1856</v>
      </c>
      <c r="D2" s="8">
        <f>AVERAGE(N8,N14,N53,N61,N22,N66,N30,N39,N48,N74)</f>
        <v>146.68788388913543</v>
      </c>
      <c r="E2" s="9" t="s">
        <v>0</v>
      </c>
      <c r="F2" s="10">
        <f>F1/D1</f>
        <v>34.401463391685439</v>
      </c>
      <c r="G2" s="1" t="s">
        <v>1889</v>
      </c>
      <c r="H2" s="413">
        <f>COUNT(H5:H74)</f>
        <v>10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SUM(Y8+Y14+Y22+Y30+Y39+Y48+Y53+Y61+Y66+Y74)</f>
        <v>0</v>
      </c>
      <c r="Z2" s="11">
        <f>SUM(Z8+Z14+Z22+Z30+Z39+Z48+Z53+Z61+Z66+Z74)</f>
        <v>0</v>
      </c>
      <c r="AA2" s="664"/>
      <c r="AB2" s="664"/>
      <c r="AC2" s="11">
        <v>60</v>
      </c>
      <c r="AD2" s="11">
        <f>SUM(AD8+AD14+AD22+AD30+AD39+AD48+AD53+AD61+AD66+AD74)</f>
        <v>0</v>
      </c>
      <c r="AE2" s="665"/>
      <c r="AF2" s="665"/>
      <c r="AG2" s="665"/>
    </row>
    <row r="3" spans="1:33" ht="40.5" customHeight="1">
      <c r="A3" s="617" t="s">
        <v>147</v>
      </c>
      <c r="B3" s="617" t="s">
        <v>1890</v>
      </c>
      <c r="C3" s="617" t="s">
        <v>1891</v>
      </c>
      <c r="D3" s="617"/>
      <c r="E3" s="661" t="s">
        <v>1892</v>
      </c>
      <c r="F3" s="617" t="s">
        <v>1893</v>
      </c>
      <c r="G3" s="661" t="s">
        <v>1894</v>
      </c>
      <c r="H3" s="654" t="s">
        <v>1895</v>
      </c>
      <c r="I3" s="652" t="s">
        <v>1896</v>
      </c>
      <c r="J3" s="649" t="s">
        <v>1897</v>
      </c>
      <c r="K3" s="659" t="s">
        <v>1898</v>
      </c>
      <c r="L3" s="652" t="s">
        <v>1896</v>
      </c>
      <c r="M3" s="649" t="s">
        <v>155</v>
      </c>
      <c r="N3" s="659" t="s">
        <v>1856</v>
      </c>
      <c r="O3" s="652" t="s">
        <v>1896</v>
      </c>
      <c r="P3" s="659" t="s">
        <v>1898</v>
      </c>
      <c r="Q3" s="650" t="s">
        <v>729</v>
      </c>
      <c r="R3" s="630" t="s">
        <v>1899</v>
      </c>
      <c r="S3" s="660" t="s">
        <v>1</v>
      </c>
      <c r="T3" s="660"/>
      <c r="U3" s="654" t="s">
        <v>2</v>
      </c>
      <c r="V3" s="654" t="s">
        <v>1900</v>
      </c>
      <c r="W3" s="617" t="s">
        <v>1901</v>
      </c>
      <c r="X3" s="617"/>
      <c r="Y3" s="655" t="s">
        <v>1902</v>
      </c>
      <c r="Z3" s="614"/>
      <c r="AA3" s="656" t="s">
        <v>1903</v>
      </c>
      <c r="AB3" s="657"/>
      <c r="AC3" s="655" t="s">
        <v>1904</v>
      </c>
      <c r="AD3" s="614"/>
      <c r="AE3" s="649" t="s">
        <v>155</v>
      </c>
      <c r="AF3" s="650" t="s">
        <v>1905</v>
      </c>
      <c r="AG3" s="630" t="s">
        <v>1906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412" t="s">
        <v>3</v>
      </c>
      <c r="T4" s="412" t="s">
        <v>4</v>
      </c>
      <c r="U4" s="654"/>
      <c r="V4" s="654"/>
      <c r="W4" s="400" t="s">
        <v>1907</v>
      </c>
      <c r="X4" s="400" t="s">
        <v>1908</v>
      </c>
      <c r="Y4" s="403" t="s">
        <v>1909</v>
      </c>
      <c r="Z4" s="403" t="s">
        <v>169</v>
      </c>
      <c r="AA4" s="658"/>
      <c r="AB4" s="657"/>
      <c r="AC4" s="403" t="s">
        <v>1910</v>
      </c>
      <c r="AD4" s="403" t="s">
        <v>1911</v>
      </c>
      <c r="AE4" s="649"/>
      <c r="AF4" s="650"/>
      <c r="AG4" s="630"/>
    </row>
    <row r="5" spans="1:33">
      <c r="A5" s="651" t="s">
        <v>1912</v>
      </c>
      <c r="B5" s="29" t="s">
        <v>15</v>
      </c>
      <c r="C5" s="653" t="s">
        <v>17</v>
      </c>
      <c r="D5" s="653"/>
      <c r="E5" s="29">
        <v>50.67</v>
      </c>
      <c r="F5" s="412">
        <v>1401</v>
      </c>
      <c r="G5" s="400">
        <f t="shared" ref="G5:G7" si="0">E5*F5</f>
        <v>70988.67</v>
      </c>
      <c r="H5" s="33" t="s">
        <v>57</v>
      </c>
      <c r="I5" s="410">
        <v>15</v>
      </c>
      <c r="J5" s="31">
        <v>2000</v>
      </c>
      <c r="K5" s="12">
        <f t="shared" ref="K5:K68" si="1">J5/I5</f>
        <v>133.33333333333334</v>
      </c>
      <c r="L5" s="410">
        <v>15</v>
      </c>
      <c r="M5" s="13">
        <f t="shared" ref="M5:M7" si="2">F5/V5*60</f>
        <v>1910.4545454545455</v>
      </c>
      <c r="N5" s="12">
        <f t="shared" ref="N5:N68" si="3">M5/L5</f>
        <v>127.36363636363636</v>
      </c>
      <c r="O5" s="14">
        <f t="shared" ref="O5:O68" si="4">L5-I5</f>
        <v>0</v>
      </c>
      <c r="P5" s="15">
        <f t="shared" ref="P5:P68" si="5">N5-K5</f>
        <v>-5.969696969696983</v>
      </c>
      <c r="Q5" s="399">
        <f t="shared" ref="Q5:Q68" si="6">N5/K5</f>
        <v>0.95522727272727259</v>
      </c>
      <c r="R5" s="615">
        <f>Q8</f>
        <v>0.95486780990205578</v>
      </c>
      <c r="S5" s="34">
        <v>0.70833333333333337</v>
      </c>
      <c r="T5" s="34">
        <v>0.73888888888888893</v>
      </c>
      <c r="U5" s="400"/>
      <c r="V5" s="411">
        <f t="shared" ref="V5:V7" si="7">(T5-S5)*24*60</f>
        <v>44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60" si="8">M5-J5</f>
        <v>-89.545454545454504</v>
      </c>
      <c r="AF5" s="399">
        <f t="shared" ref="AF5:AF68" si="9">M5/J5</f>
        <v>0.9552272727272727</v>
      </c>
      <c r="AG5" s="615">
        <f>AF8</f>
        <v>0.95486780990205589</v>
      </c>
    </row>
    <row r="6" spans="1:33">
      <c r="A6" s="652" t="s">
        <v>1913</v>
      </c>
      <c r="B6" s="29" t="s">
        <v>15</v>
      </c>
      <c r="C6" s="653" t="s">
        <v>26</v>
      </c>
      <c r="D6" s="653"/>
      <c r="E6" s="29">
        <v>50.92</v>
      </c>
      <c r="F6" s="412">
        <v>2321</v>
      </c>
      <c r="G6" s="400">
        <f t="shared" si="0"/>
        <v>118185.32</v>
      </c>
      <c r="H6" s="33" t="s">
        <v>57</v>
      </c>
      <c r="I6" s="410">
        <v>15</v>
      </c>
      <c r="J6" s="31">
        <v>2000</v>
      </c>
      <c r="K6" s="12">
        <f t="shared" si="1"/>
        <v>133.33333333333334</v>
      </c>
      <c r="L6" s="410">
        <v>15</v>
      </c>
      <c r="M6" s="13">
        <f t="shared" si="2"/>
        <v>1907.6712328767107</v>
      </c>
      <c r="N6" s="12">
        <f t="shared" si="3"/>
        <v>127.17808219178072</v>
      </c>
      <c r="O6" s="14">
        <f t="shared" si="4"/>
        <v>0</v>
      </c>
      <c r="P6" s="15">
        <f t="shared" si="5"/>
        <v>-6.1552511415526254</v>
      </c>
      <c r="Q6" s="399">
        <f t="shared" si="6"/>
        <v>0.95383561643835535</v>
      </c>
      <c r="R6" s="615"/>
      <c r="S6" s="34">
        <v>0.74444444444444446</v>
      </c>
      <c r="T6" s="34">
        <v>0.79513888888888895</v>
      </c>
      <c r="U6" s="400">
        <f t="shared" ref="U6:U7" si="10">IF(S6=TIME(17,0,0),"",(S6-T5)*24*60)</f>
        <v>7.9999999999999716</v>
      </c>
      <c r="V6" s="411">
        <f t="shared" si="7"/>
        <v>73.000000000000057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-92.328767123289254</v>
      </c>
      <c r="AF6" s="399">
        <f t="shared" si="9"/>
        <v>0.95383561643835535</v>
      </c>
      <c r="AG6" s="615"/>
    </row>
    <row r="7" spans="1:33">
      <c r="A7" s="652" t="s">
        <v>1913</v>
      </c>
      <c r="B7" s="29" t="s">
        <v>15</v>
      </c>
      <c r="C7" s="644" t="s">
        <v>31</v>
      </c>
      <c r="D7" s="645"/>
      <c r="E7" s="29">
        <v>50.98</v>
      </c>
      <c r="F7" s="412">
        <v>2357</v>
      </c>
      <c r="G7" s="400">
        <f t="shared" si="0"/>
        <v>120159.85999999999</v>
      </c>
      <c r="H7" s="33" t="s">
        <v>57</v>
      </c>
      <c r="I7" s="410">
        <v>16</v>
      </c>
      <c r="J7" s="31">
        <v>2000</v>
      </c>
      <c r="K7" s="12">
        <f t="shared" si="1"/>
        <v>125</v>
      </c>
      <c r="L7" s="410">
        <v>16</v>
      </c>
      <c r="M7" s="13">
        <f t="shared" si="2"/>
        <v>1911.0810810810794</v>
      </c>
      <c r="N7" s="12">
        <f t="shared" si="3"/>
        <v>119.44256756756747</v>
      </c>
      <c r="O7" s="14">
        <f t="shared" si="4"/>
        <v>0</v>
      </c>
      <c r="P7" s="15">
        <f t="shared" si="5"/>
        <v>-5.5574324324325346</v>
      </c>
      <c r="Q7" s="399">
        <f t="shared" si="6"/>
        <v>0.95554054054053972</v>
      </c>
      <c r="R7" s="615"/>
      <c r="S7" s="34">
        <v>0.7993055555555556</v>
      </c>
      <c r="T7" s="34">
        <v>0.85069444444444453</v>
      </c>
      <c r="U7" s="400">
        <f t="shared" si="10"/>
        <v>5.9999999999999787</v>
      </c>
      <c r="V7" s="411">
        <f t="shared" si="7"/>
        <v>74.000000000000057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-88.918918918920554</v>
      </c>
      <c r="AF7" s="399">
        <f t="shared" si="9"/>
        <v>0.95554054054053972</v>
      </c>
      <c r="AG7" s="615"/>
    </row>
    <row r="8" spans="1:33">
      <c r="A8" s="652" t="s">
        <v>1914</v>
      </c>
      <c r="B8" s="29" t="s">
        <v>1915</v>
      </c>
      <c r="C8" s="618"/>
      <c r="D8" s="618"/>
      <c r="E8" s="402"/>
      <c r="F8" s="30"/>
      <c r="G8" s="12"/>
      <c r="H8" s="412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1909.7356198041118</v>
      </c>
      <c r="N8" s="12">
        <f t="shared" si="3"/>
        <v>124.54797520461598</v>
      </c>
      <c r="O8" s="14">
        <f t="shared" si="4"/>
        <v>0</v>
      </c>
      <c r="P8" s="15">
        <f t="shared" si="5"/>
        <v>-5.8868074040796756</v>
      </c>
      <c r="Q8" s="399">
        <f t="shared" si="6"/>
        <v>0.95486780990205578</v>
      </c>
      <c r="R8" s="615"/>
      <c r="S8" s="34"/>
      <c r="T8" s="34"/>
      <c r="U8" s="400"/>
      <c r="V8" s="411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-90.26438019588818</v>
      </c>
      <c r="AF8" s="399">
        <f t="shared" si="9"/>
        <v>0.95486780990205589</v>
      </c>
      <c r="AG8" s="615"/>
    </row>
    <row r="9" spans="1:33" ht="15.75" customHeight="1">
      <c r="A9" s="648" t="s">
        <v>1916</v>
      </c>
      <c r="B9" s="29" t="s">
        <v>19</v>
      </c>
      <c r="C9" s="644" t="s">
        <v>20</v>
      </c>
      <c r="D9" s="645"/>
      <c r="E9" s="29">
        <v>39.619999999999997</v>
      </c>
      <c r="F9" s="412">
        <v>3500</v>
      </c>
      <c r="G9" s="400">
        <f t="shared" ref="G9:G13" si="11">E9*F9</f>
        <v>138670</v>
      </c>
      <c r="H9" s="33">
        <v>2</v>
      </c>
      <c r="I9" s="410">
        <v>19</v>
      </c>
      <c r="J9" s="31">
        <v>1500</v>
      </c>
      <c r="K9" s="12">
        <f t="shared" si="1"/>
        <v>78.94736842105263</v>
      </c>
      <c r="L9" s="410">
        <v>19</v>
      </c>
      <c r="M9" s="13">
        <f t="shared" ref="M9:M13" si="12">F9/V9*60</f>
        <v>1438.3561643835617</v>
      </c>
      <c r="N9" s="12">
        <f t="shared" si="3"/>
        <v>75.702956020187457</v>
      </c>
      <c r="O9" s="14">
        <f t="shared" si="4"/>
        <v>0</v>
      </c>
      <c r="P9" s="15">
        <f t="shared" si="5"/>
        <v>-3.2444124008651727</v>
      </c>
      <c r="Q9" s="399">
        <f t="shared" si="6"/>
        <v>0.95890410958904115</v>
      </c>
      <c r="R9" s="615">
        <f>Q14</f>
        <v>0.95565954487726834</v>
      </c>
      <c r="S9" s="34">
        <v>8.3333333333333329E-2</v>
      </c>
      <c r="T9" s="34">
        <v>0.1847222222222222</v>
      </c>
      <c r="U9" s="400"/>
      <c r="V9" s="411">
        <f t="shared" ref="V9:V13" si="13">(T9-S9)*24*60</f>
        <v>146</v>
      </c>
      <c r="W9" s="16">
        <f>T9</f>
        <v>0.1847222222222222</v>
      </c>
      <c r="X9" s="16">
        <f>S10</f>
        <v>0.20208333333333328</v>
      </c>
      <c r="Y9" s="16"/>
      <c r="Z9" s="16"/>
      <c r="AA9" s="617"/>
      <c r="AB9" s="617"/>
      <c r="AC9" s="35">
        <v>5</v>
      </c>
      <c r="AD9" s="18"/>
      <c r="AE9" s="14">
        <f t="shared" si="8"/>
        <v>-61.643835616438309</v>
      </c>
      <c r="AF9" s="399">
        <f t="shared" si="9"/>
        <v>0.95890410958904115</v>
      </c>
      <c r="AG9" s="615">
        <f>AF14</f>
        <v>0.95565954487726823</v>
      </c>
    </row>
    <row r="10" spans="1:33" ht="15.75" customHeight="1">
      <c r="A10" s="648" t="s">
        <v>1916</v>
      </c>
      <c r="B10" s="29" t="s">
        <v>19</v>
      </c>
      <c r="C10" s="644" t="s">
        <v>83</v>
      </c>
      <c r="D10" s="645"/>
      <c r="E10" s="29">
        <v>39.46</v>
      </c>
      <c r="F10" s="412">
        <v>5437</v>
      </c>
      <c r="G10" s="400">
        <f t="shared" si="11"/>
        <v>214544.02000000002</v>
      </c>
      <c r="H10" s="33" t="s">
        <v>57</v>
      </c>
      <c r="I10" s="410">
        <v>16</v>
      </c>
      <c r="J10" s="31">
        <v>1500</v>
      </c>
      <c r="K10" s="12">
        <f t="shared" si="1"/>
        <v>93.75</v>
      </c>
      <c r="L10" s="410">
        <v>16</v>
      </c>
      <c r="M10" s="13">
        <f t="shared" si="12"/>
        <v>1430.7894736842104</v>
      </c>
      <c r="N10" s="12">
        <f t="shared" si="3"/>
        <v>89.42434210526315</v>
      </c>
      <c r="O10" s="14">
        <f t="shared" si="4"/>
        <v>0</v>
      </c>
      <c r="P10" s="15">
        <f t="shared" si="5"/>
        <v>-4.3256578947368496</v>
      </c>
      <c r="Q10" s="399">
        <f t="shared" si="6"/>
        <v>0.95385964912280696</v>
      </c>
      <c r="R10" s="615"/>
      <c r="S10" s="34">
        <v>0.20208333333333328</v>
      </c>
      <c r="T10" s="34">
        <v>0.36041666666666661</v>
      </c>
      <c r="U10" s="400">
        <f t="shared" ref="U10:U13" si="14">IF(S10=TIME(17,0,0),"",(S10-T9)*24*60)</f>
        <v>24.99999999999995</v>
      </c>
      <c r="V10" s="411">
        <f t="shared" si="13"/>
        <v>228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-69.210526315789593</v>
      </c>
      <c r="AF10" s="399">
        <f t="shared" si="9"/>
        <v>0.95385964912280696</v>
      </c>
      <c r="AG10" s="615"/>
    </row>
    <row r="11" spans="1:33" ht="15.75" customHeight="1">
      <c r="A11" s="648" t="s">
        <v>1916</v>
      </c>
      <c r="B11" s="29" t="s">
        <v>19</v>
      </c>
      <c r="C11" s="644" t="s">
        <v>21</v>
      </c>
      <c r="D11" s="645"/>
      <c r="E11" s="29">
        <v>39.799999999999997</v>
      </c>
      <c r="F11" s="412">
        <v>5200</v>
      </c>
      <c r="G11" s="400">
        <f t="shared" si="11"/>
        <v>206959.99999999997</v>
      </c>
      <c r="H11" s="33">
        <v>2</v>
      </c>
      <c r="I11" s="410">
        <v>17</v>
      </c>
      <c r="J11" s="31">
        <v>1500</v>
      </c>
      <c r="K11" s="12">
        <f t="shared" si="1"/>
        <v>88.235294117647058</v>
      </c>
      <c r="L11" s="410">
        <v>17</v>
      </c>
      <c r="M11" s="13">
        <f t="shared" si="12"/>
        <v>1431.1926605504586</v>
      </c>
      <c r="N11" s="12">
        <f t="shared" si="3"/>
        <v>84.187803561791682</v>
      </c>
      <c r="O11" s="14">
        <f t="shared" si="4"/>
        <v>0</v>
      </c>
      <c r="P11" s="15">
        <f t="shared" si="5"/>
        <v>-4.0474905558553758</v>
      </c>
      <c r="Q11" s="399">
        <f t="shared" si="6"/>
        <v>0.95412844036697242</v>
      </c>
      <c r="R11" s="615"/>
      <c r="S11" s="34">
        <v>0.36388888888888882</v>
      </c>
      <c r="T11" s="34">
        <v>0.51527777777777772</v>
      </c>
      <c r="U11" s="400">
        <f t="shared" si="14"/>
        <v>4.9999999999999822</v>
      </c>
      <c r="V11" s="411">
        <f t="shared" si="13"/>
        <v>218.00000000000003</v>
      </c>
      <c r="W11" s="16">
        <f>T11</f>
        <v>0.51527777777777772</v>
      </c>
      <c r="X11" s="16">
        <f>S12</f>
        <v>0.5576388888888888</v>
      </c>
      <c r="Y11" s="16"/>
      <c r="Z11" s="16"/>
      <c r="AA11" s="617"/>
      <c r="AB11" s="617"/>
      <c r="AC11" s="35"/>
      <c r="AD11" s="18"/>
      <c r="AE11" s="14">
        <f t="shared" si="8"/>
        <v>-68.807339449541359</v>
      </c>
      <c r="AF11" s="399">
        <f t="shared" si="9"/>
        <v>0.95412844036697242</v>
      </c>
      <c r="AG11" s="615"/>
    </row>
    <row r="12" spans="1:33" ht="15.75" customHeight="1">
      <c r="A12" s="648" t="s">
        <v>1916</v>
      </c>
      <c r="B12" s="29" t="s">
        <v>19</v>
      </c>
      <c r="C12" s="644" t="s">
        <v>20</v>
      </c>
      <c r="D12" s="645"/>
      <c r="E12" s="29">
        <v>39.619999999999997</v>
      </c>
      <c r="F12" s="412">
        <v>2774</v>
      </c>
      <c r="G12" s="400">
        <f t="shared" si="11"/>
        <v>109905.87999999999</v>
      </c>
      <c r="H12" s="33" t="s">
        <v>57</v>
      </c>
      <c r="I12" s="410">
        <v>19</v>
      </c>
      <c r="J12" s="31">
        <v>1500</v>
      </c>
      <c r="K12" s="12">
        <f t="shared" si="1"/>
        <v>78.94736842105263</v>
      </c>
      <c r="L12" s="410">
        <v>19</v>
      </c>
      <c r="M12" s="13">
        <f t="shared" si="12"/>
        <v>1434.8275862068956</v>
      </c>
      <c r="N12" s="12">
        <f t="shared" si="3"/>
        <v>75.517241379310292</v>
      </c>
      <c r="O12" s="14">
        <f t="shared" si="4"/>
        <v>0</v>
      </c>
      <c r="P12" s="15">
        <f t="shared" si="5"/>
        <v>-3.4301270417423382</v>
      </c>
      <c r="Q12" s="399">
        <f t="shared" si="6"/>
        <v>0.95655172413793044</v>
      </c>
      <c r="R12" s="615"/>
      <c r="S12" s="34">
        <v>0.5576388888888888</v>
      </c>
      <c r="T12" s="34">
        <v>0.6381944444444444</v>
      </c>
      <c r="U12" s="400">
        <f t="shared" si="14"/>
        <v>60.999999999999943</v>
      </c>
      <c r="V12" s="411">
        <f t="shared" si="13"/>
        <v>116.00000000000007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-65.172413793104397</v>
      </c>
      <c r="AF12" s="399">
        <f t="shared" si="9"/>
        <v>0.95655172413793044</v>
      </c>
      <c r="AG12" s="615"/>
    </row>
    <row r="13" spans="1:33" ht="15.75" customHeight="1">
      <c r="A13" s="648" t="s">
        <v>1916</v>
      </c>
      <c r="B13" s="29" t="s">
        <v>19</v>
      </c>
      <c r="C13" s="644" t="s">
        <v>21</v>
      </c>
      <c r="D13" s="645"/>
      <c r="E13" s="29">
        <v>39.799999999999997</v>
      </c>
      <c r="F13" s="412">
        <v>4082</v>
      </c>
      <c r="G13" s="400">
        <f t="shared" si="11"/>
        <v>162463.59999999998</v>
      </c>
      <c r="H13" s="33" t="s">
        <v>57</v>
      </c>
      <c r="I13" s="410">
        <v>17</v>
      </c>
      <c r="J13" s="31">
        <v>1500</v>
      </c>
      <c r="K13" s="12">
        <f t="shared" si="1"/>
        <v>88.235294117647058</v>
      </c>
      <c r="L13" s="410">
        <v>17</v>
      </c>
      <c r="M13" s="13">
        <f t="shared" si="12"/>
        <v>1432.2807017543857</v>
      </c>
      <c r="N13" s="12">
        <f t="shared" si="3"/>
        <v>84.251805985552096</v>
      </c>
      <c r="O13" s="14">
        <f t="shared" si="4"/>
        <v>0</v>
      </c>
      <c r="P13" s="15">
        <f t="shared" si="5"/>
        <v>-3.983488132094962</v>
      </c>
      <c r="Q13" s="399">
        <f t="shared" si="6"/>
        <v>0.9548538011695904</v>
      </c>
      <c r="R13" s="615"/>
      <c r="S13" s="34">
        <v>0.64374999999999993</v>
      </c>
      <c r="T13" s="34">
        <v>0.76249999999999996</v>
      </c>
      <c r="U13" s="400">
        <f t="shared" si="14"/>
        <v>7.9999999999999716</v>
      </c>
      <c r="V13" s="411">
        <f t="shared" si="13"/>
        <v>171.00000000000003</v>
      </c>
      <c r="W13" s="16"/>
      <c r="X13" s="16"/>
      <c r="Y13" s="19"/>
      <c r="Z13" s="19"/>
      <c r="AA13" s="624"/>
      <c r="AB13" s="625"/>
      <c r="AC13" s="35"/>
      <c r="AD13" s="18"/>
      <c r="AE13" s="14">
        <f t="shared" si="8"/>
        <v>-67.719298245614254</v>
      </c>
      <c r="AF13" s="399">
        <f t="shared" si="9"/>
        <v>0.95485380116959051</v>
      </c>
      <c r="AG13" s="615"/>
    </row>
    <row r="14" spans="1:33" ht="16.5" customHeight="1">
      <c r="A14" s="648" t="s">
        <v>1916</v>
      </c>
      <c r="B14" s="29" t="s">
        <v>1917</v>
      </c>
      <c r="C14" s="618"/>
      <c r="D14" s="618"/>
      <c r="E14" s="402"/>
      <c r="F14" s="31"/>
      <c r="G14" s="13"/>
      <c r="H14" s="412"/>
      <c r="I14" s="23">
        <v>17.600000000000001</v>
      </c>
      <c r="J14" s="31">
        <v>1500</v>
      </c>
      <c r="K14" s="12">
        <f t="shared" si="1"/>
        <v>85.22727272727272</v>
      </c>
      <c r="L14" s="23">
        <v>17.600000000000001</v>
      </c>
      <c r="M14" s="13">
        <f>AVERAGE(M9:M13)</f>
        <v>1433.4893173159023</v>
      </c>
      <c r="N14" s="12">
        <f t="shared" si="3"/>
        <v>81.448256665676269</v>
      </c>
      <c r="O14" s="14">
        <f t="shared" si="4"/>
        <v>0</v>
      </c>
      <c r="P14" s="15">
        <f t="shared" si="5"/>
        <v>-3.779016061596451</v>
      </c>
      <c r="Q14" s="399">
        <f t="shared" si="6"/>
        <v>0.95565954487726834</v>
      </c>
      <c r="R14" s="615"/>
      <c r="S14" s="34"/>
      <c r="T14" s="34"/>
      <c r="U14" s="12"/>
      <c r="V14" s="411"/>
      <c r="W14" s="12"/>
      <c r="X14" s="12"/>
      <c r="Y14" s="24">
        <f>SUM(Y9:Y13)</f>
        <v>0</v>
      </c>
      <c r="Z14" s="24">
        <f>SUM(Z9:Z13)</f>
        <v>0</v>
      </c>
      <c r="AA14" s="614"/>
      <c r="AB14" s="614"/>
      <c r="AC14" s="24">
        <v>5</v>
      </c>
      <c r="AD14" s="24">
        <f>SUM(AD9:AD13)</f>
        <v>0</v>
      </c>
      <c r="AE14" s="14">
        <f t="shared" si="8"/>
        <v>-66.510682684097674</v>
      </c>
      <c r="AF14" s="399">
        <f t="shared" si="9"/>
        <v>0.95565954487726823</v>
      </c>
      <c r="AG14" s="615"/>
    </row>
    <row r="15" spans="1:33" ht="16.5" customHeight="1">
      <c r="A15" s="646" t="s">
        <v>1918</v>
      </c>
      <c r="B15" s="412" t="s">
        <v>22</v>
      </c>
      <c r="C15" s="640" t="s">
        <v>23</v>
      </c>
      <c r="D15" s="640"/>
      <c r="E15" s="29">
        <v>41</v>
      </c>
      <c r="F15" s="412">
        <v>2095</v>
      </c>
      <c r="G15" s="400">
        <f t="shared" ref="G15:G21" si="15">E15*F15</f>
        <v>85895</v>
      </c>
      <c r="H15" s="33" t="s">
        <v>57</v>
      </c>
      <c r="I15" s="410">
        <v>26</v>
      </c>
      <c r="J15" s="31">
        <v>1500</v>
      </c>
      <c r="K15" s="12">
        <f t="shared" si="1"/>
        <v>57.692307692307693</v>
      </c>
      <c r="L15" s="410">
        <v>26</v>
      </c>
      <c r="M15" s="13">
        <f t="shared" ref="M15:M21" si="16">F15/V15*60</f>
        <v>1444.8275862068967</v>
      </c>
      <c r="N15" s="12">
        <f t="shared" si="3"/>
        <v>55.570291777188338</v>
      </c>
      <c r="O15" s="14">
        <f t="shared" si="4"/>
        <v>0</v>
      </c>
      <c r="P15" s="15">
        <f t="shared" si="5"/>
        <v>-2.1220159151193556</v>
      </c>
      <c r="Q15" s="399">
        <f t="shared" si="6"/>
        <v>0.96321839080459781</v>
      </c>
      <c r="R15" s="615">
        <f>Q22</f>
        <v>0.95714152124455909</v>
      </c>
      <c r="S15" s="34">
        <v>8.3333333333333329E-2</v>
      </c>
      <c r="T15" s="34">
        <v>0.14374999999999999</v>
      </c>
      <c r="U15" s="400"/>
      <c r="V15" s="411">
        <f t="shared" ref="V15:V21" si="17">(T15-S15)*24*60</f>
        <v>86.999999999999986</v>
      </c>
      <c r="W15" s="16">
        <f>T15</f>
        <v>0.14374999999999999</v>
      </c>
      <c r="X15" s="16">
        <f>S16</f>
        <v>0.16250000000000001</v>
      </c>
      <c r="Y15" s="21"/>
      <c r="Z15" s="21"/>
      <c r="AA15" s="617"/>
      <c r="AB15" s="617"/>
      <c r="AC15" s="35">
        <v>7</v>
      </c>
      <c r="AD15" s="18"/>
      <c r="AE15" s="14">
        <f t="shared" si="8"/>
        <v>-55.17241379310326</v>
      </c>
      <c r="AF15" s="399">
        <f t="shared" si="9"/>
        <v>0.96321839080459781</v>
      </c>
      <c r="AG15" s="615">
        <f>AF22</f>
        <v>0.9571415212445592</v>
      </c>
    </row>
    <row r="16" spans="1:33" ht="16.5" customHeight="1">
      <c r="A16" s="647" t="s">
        <v>1919</v>
      </c>
      <c r="B16" s="412" t="s">
        <v>22</v>
      </c>
      <c r="C16" s="640" t="s">
        <v>87</v>
      </c>
      <c r="D16" s="640"/>
      <c r="E16" s="29">
        <v>38.619999999999997</v>
      </c>
      <c r="F16" s="412">
        <v>2360</v>
      </c>
      <c r="G16" s="400">
        <f t="shared" si="15"/>
        <v>91143.2</v>
      </c>
      <c r="H16" s="33" t="s">
        <v>57</v>
      </c>
      <c r="I16" s="410">
        <v>24</v>
      </c>
      <c r="J16" s="31">
        <v>1500</v>
      </c>
      <c r="K16" s="12">
        <f t="shared" si="1"/>
        <v>62.5</v>
      </c>
      <c r="L16" s="410">
        <v>24</v>
      </c>
      <c r="M16" s="13">
        <f t="shared" si="16"/>
        <v>1430.30303030303</v>
      </c>
      <c r="N16" s="12">
        <f t="shared" si="3"/>
        <v>59.595959595959584</v>
      </c>
      <c r="O16" s="14">
        <f t="shared" si="4"/>
        <v>0</v>
      </c>
      <c r="P16" s="15">
        <f t="shared" si="5"/>
        <v>-2.9040404040404155</v>
      </c>
      <c r="Q16" s="399">
        <f t="shared" si="6"/>
        <v>0.95353535353535335</v>
      </c>
      <c r="R16" s="615"/>
      <c r="S16" s="34">
        <v>0.16250000000000001</v>
      </c>
      <c r="T16" s="34">
        <v>0.23125000000000001</v>
      </c>
      <c r="U16" s="400">
        <f t="shared" ref="U16:U21" si="18">IF(S16=TIME(17,0,0),"",(S16-T15)*24*60)</f>
        <v>27.000000000000025</v>
      </c>
      <c r="V16" s="411">
        <f t="shared" si="17"/>
        <v>99.000000000000014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-69.696969696969973</v>
      </c>
      <c r="AF16" s="399">
        <f t="shared" si="9"/>
        <v>0.95353535353535335</v>
      </c>
      <c r="AG16" s="615"/>
    </row>
    <row r="17" spans="1:33" ht="16.5" customHeight="1">
      <c r="A17" s="647" t="s">
        <v>1918</v>
      </c>
      <c r="B17" s="412" t="s">
        <v>15</v>
      </c>
      <c r="C17" s="640" t="s">
        <v>86</v>
      </c>
      <c r="D17" s="640"/>
      <c r="E17" s="29">
        <v>37.03</v>
      </c>
      <c r="F17" s="412">
        <v>3296</v>
      </c>
      <c r="G17" s="400">
        <f t="shared" si="15"/>
        <v>122050.88</v>
      </c>
      <c r="H17" s="33" t="s">
        <v>57</v>
      </c>
      <c r="I17" s="410">
        <v>13</v>
      </c>
      <c r="J17" s="31">
        <v>1500</v>
      </c>
      <c r="K17" s="12">
        <f t="shared" si="1"/>
        <v>115.38461538461539</v>
      </c>
      <c r="L17" s="410">
        <v>13</v>
      </c>
      <c r="M17" s="13">
        <f t="shared" si="16"/>
        <v>1433.0434782608688</v>
      </c>
      <c r="N17" s="12">
        <f t="shared" si="3"/>
        <v>110.23411371237452</v>
      </c>
      <c r="O17" s="14">
        <f t="shared" si="4"/>
        <v>0</v>
      </c>
      <c r="P17" s="15">
        <f t="shared" si="5"/>
        <v>-5.1505016722408641</v>
      </c>
      <c r="Q17" s="399">
        <f t="shared" si="6"/>
        <v>0.95536231884057921</v>
      </c>
      <c r="R17" s="615"/>
      <c r="S17" s="34">
        <v>0.23541666666666669</v>
      </c>
      <c r="T17" s="34">
        <v>0.33125000000000004</v>
      </c>
      <c r="U17" s="400">
        <f t="shared" si="18"/>
        <v>6.0000000000000187</v>
      </c>
      <c r="V17" s="411">
        <f t="shared" si="17"/>
        <v>138.00000000000006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-66.956521739131176</v>
      </c>
      <c r="AF17" s="399">
        <f t="shared" si="9"/>
        <v>0.95536231884057921</v>
      </c>
      <c r="AG17" s="615"/>
    </row>
    <row r="18" spans="1:33" ht="16.5" customHeight="1">
      <c r="A18" s="647" t="s">
        <v>1920</v>
      </c>
      <c r="B18" s="412" t="s">
        <v>19</v>
      </c>
      <c r="C18" s="640" t="s">
        <v>267</v>
      </c>
      <c r="D18" s="640"/>
      <c r="E18" s="29">
        <v>39.520000000000003</v>
      </c>
      <c r="F18" s="412">
        <v>4290</v>
      </c>
      <c r="G18" s="400">
        <f t="shared" si="15"/>
        <v>169540.80000000002</v>
      </c>
      <c r="H18" s="33" t="s">
        <v>57</v>
      </c>
      <c r="I18" s="410">
        <v>19</v>
      </c>
      <c r="J18" s="31">
        <v>1500</v>
      </c>
      <c r="K18" s="12">
        <f t="shared" si="1"/>
        <v>78.94736842105263</v>
      </c>
      <c r="L18" s="410">
        <v>19</v>
      </c>
      <c r="M18" s="13">
        <f t="shared" si="16"/>
        <v>1430</v>
      </c>
      <c r="N18" s="12">
        <f t="shared" si="3"/>
        <v>75.263157894736835</v>
      </c>
      <c r="O18" s="14">
        <f t="shared" si="4"/>
        <v>0</v>
      </c>
      <c r="P18" s="15">
        <f t="shared" si="5"/>
        <v>-3.6842105263157947</v>
      </c>
      <c r="Q18" s="399">
        <f t="shared" si="6"/>
        <v>0.95333333333333325</v>
      </c>
      <c r="R18" s="615"/>
      <c r="S18" s="34">
        <v>0.33472222222222225</v>
      </c>
      <c r="T18" s="34">
        <v>0.45972222222222225</v>
      </c>
      <c r="U18" s="400">
        <f t="shared" si="18"/>
        <v>4.9999999999999822</v>
      </c>
      <c r="V18" s="411">
        <f t="shared" si="17"/>
        <v>180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-70</v>
      </c>
      <c r="AF18" s="399">
        <f t="shared" si="9"/>
        <v>0.95333333333333337</v>
      </c>
      <c r="AG18" s="615"/>
    </row>
    <row r="19" spans="1:33" ht="16.5" customHeight="1">
      <c r="A19" s="647" t="s">
        <v>1918</v>
      </c>
      <c r="B19" s="412" t="s">
        <v>15</v>
      </c>
      <c r="C19" s="640" t="s">
        <v>25</v>
      </c>
      <c r="D19" s="640"/>
      <c r="E19" s="29">
        <v>53.68</v>
      </c>
      <c r="F19" s="412">
        <v>1054</v>
      </c>
      <c r="G19" s="400">
        <f t="shared" si="15"/>
        <v>56578.720000000001</v>
      </c>
      <c r="H19" s="33" t="s">
        <v>57</v>
      </c>
      <c r="I19" s="410">
        <v>16</v>
      </c>
      <c r="J19" s="31">
        <v>1500</v>
      </c>
      <c r="K19" s="12">
        <f t="shared" si="1"/>
        <v>93.75</v>
      </c>
      <c r="L19" s="410">
        <v>16</v>
      </c>
      <c r="M19" s="13">
        <f t="shared" si="16"/>
        <v>1437.2727272727273</v>
      </c>
      <c r="N19" s="12">
        <f t="shared" si="3"/>
        <v>89.829545454545453</v>
      </c>
      <c r="O19" s="14">
        <f t="shared" si="4"/>
        <v>0</v>
      </c>
      <c r="P19" s="15">
        <f t="shared" si="5"/>
        <v>-3.9204545454545467</v>
      </c>
      <c r="Q19" s="399">
        <f t="shared" si="6"/>
        <v>0.95818181818181813</v>
      </c>
      <c r="R19" s="615"/>
      <c r="S19" s="34">
        <v>0.70833333333333337</v>
      </c>
      <c r="T19" s="34">
        <v>0.73888888888888893</v>
      </c>
      <c r="U19" s="400" t="str">
        <f t="shared" si="18"/>
        <v/>
      </c>
      <c r="V19" s="411">
        <f t="shared" si="17"/>
        <v>44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-62.727272727272748</v>
      </c>
      <c r="AF19" s="399">
        <f t="shared" si="9"/>
        <v>0.95818181818181813</v>
      </c>
      <c r="AG19" s="615"/>
    </row>
    <row r="20" spans="1:33" ht="16.5" customHeight="1">
      <c r="A20" s="647" t="s">
        <v>1919</v>
      </c>
      <c r="B20" s="412" t="s">
        <v>15</v>
      </c>
      <c r="C20" s="408" t="s">
        <v>18</v>
      </c>
      <c r="D20" s="409"/>
      <c r="E20" s="29">
        <v>52.86</v>
      </c>
      <c r="F20" s="412">
        <v>1339</v>
      </c>
      <c r="G20" s="400">
        <f t="shared" si="15"/>
        <v>70779.539999999994</v>
      </c>
      <c r="H20" s="33" t="s">
        <v>57</v>
      </c>
      <c r="I20" s="410">
        <v>16</v>
      </c>
      <c r="J20" s="31">
        <v>2000</v>
      </c>
      <c r="K20" s="12">
        <f t="shared" si="1"/>
        <v>125</v>
      </c>
      <c r="L20" s="410">
        <v>16</v>
      </c>
      <c r="M20" s="13">
        <f t="shared" si="16"/>
        <v>1912.8571428571422</v>
      </c>
      <c r="N20" s="12">
        <f t="shared" si="3"/>
        <v>119.55357142857139</v>
      </c>
      <c r="O20" s="14">
        <f t="shared" si="4"/>
        <v>0</v>
      </c>
      <c r="P20" s="15">
        <f t="shared" si="5"/>
        <v>-5.446428571428612</v>
      </c>
      <c r="Q20" s="399">
        <f t="shared" si="6"/>
        <v>0.95642857142857107</v>
      </c>
      <c r="R20" s="615"/>
      <c r="S20" s="34">
        <v>0.74375000000000002</v>
      </c>
      <c r="T20" s="34">
        <v>0.7729166666666667</v>
      </c>
      <c r="U20" s="400">
        <f t="shared" si="18"/>
        <v>6.9999999999999751</v>
      </c>
      <c r="V20" s="411">
        <f t="shared" si="17"/>
        <v>42.000000000000014</v>
      </c>
      <c r="W20" s="16"/>
      <c r="X20" s="16"/>
      <c r="Y20" s="19"/>
      <c r="Z20" s="19"/>
      <c r="AA20" s="406"/>
      <c r="AB20" s="407"/>
      <c r="AC20" s="35"/>
      <c r="AD20" s="18"/>
      <c r="AE20" s="14">
        <f t="shared" si="8"/>
        <v>-87.142857142857792</v>
      </c>
      <c r="AF20" s="399">
        <f t="shared" si="9"/>
        <v>0.95642857142857107</v>
      </c>
      <c r="AG20" s="615"/>
    </row>
    <row r="21" spans="1:33" ht="16.5" customHeight="1">
      <c r="A21" s="647" t="s">
        <v>1921</v>
      </c>
      <c r="B21" s="412" t="s">
        <v>15</v>
      </c>
      <c r="C21" s="408" t="s">
        <v>16</v>
      </c>
      <c r="D21" s="409"/>
      <c r="E21" s="29">
        <v>50.67</v>
      </c>
      <c r="F21" s="412">
        <v>1631</v>
      </c>
      <c r="G21" s="400">
        <f t="shared" si="15"/>
        <v>82642.77</v>
      </c>
      <c r="H21" s="33" t="s">
        <v>57</v>
      </c>
      <c r="I21" s="410">
        <v>17</v>
      </c>
      <c r="J21" s="31">
        <v>2000</v>
      </c>
      <c r="K21" s="12">
        <f t="shared" si="1"/>
        <v>117.64705882352941</v>
      </c>
      <c r="L21" s="410">
        <v>17</v>
      </c>
      <c r="M21" s="13">
        <f t="shared" si="16"/>
        <v>1918.8235294117655</v>
      </c>
      <c r="N21" s="12">
        <f t="shared" si="3"/>
        <v>112.87197231833915</v>
      </c>
      <c r="O21" s="14">
        <f t="shared" si="4"/>
        <v>0</v>
      </c>
      <c r="P21" s="15">
        <f t="shared" si="5"/>
        <v>-4.7750865051902593</v>
      </c>
      <c r="Q21" s="399">
        <f t="shared" si="6"/>
        <v>0.95941176470588274</v>
      </c>
      <c r="R21" s="615"/>
      <c r="S21" s="34">
        <v>0.77777777777777779</v>
      </c>
      <c r="T21" s="34">
        <v>0.81319444444444444</v>
      </c>
      <c r="U21" s="400">
        <f t="shared" si="18"/>
        <v>6.9999999999999751</v>
      </c>
      <c r="V21" s="411">
        <f t="shared" si="17"/>
        <v>50.999999999999979</v>
      </c>
      <c r="W21" s="16"/>
      <c r="X21" s="16"/>
      <c r="Y21" s="19"/>
      <c r="Z21" s="19"/>
      <c r="AA21" s="406"/>
      <c r="AB21" s="407"/>
      <c r="AC21" s="35"/>
      <c r="AD21" s="18"/>
      <c r="AE21" s="14">
        <f t="shared" si="8"/>
        <v>-81.176470588234451</v>
      </c>
      <c r="AF21" s="399">
        <f t="shared" si="9"/>
        <v>0.95941176470588274</v>
      </c>
      <c r="AG21" s="615"/>
    </row>
    <row r="22" spans="1:33" ht="16.5" customHeight="1">
      <c r="A22" s="647" t="s">
        <v>1920</v>
      </c>
      <c r="B22" s="29" t="s">
        <v>1917</v>
      </c>
      <c r="C22" s="618"/>
      <c r="D22" s="618"/>
      <c r="E22" s="402"/>
      <c r="F22" s="30"/>
      <c r="G22" s="12"/>
      <c r="H22" s="412"/>
      <c r="I22" s="23">
        <v>18.714285714285715</v>
      </c>
      <c r="J22" s="31">
        <v>1642.8571428571429</v>
      </c>
      <c r="K22" s="12">
        <f t="shared" si="1"/>
        <v>87.786259541984734</v>
      </c>
      <c r="L22" s="23">
        <v>18.714285714285715</v>
      </c>
      <c r="M22" s="13">
        <f>AVERAGE(M15:M21)</f>
        <v>1572.4467849017758</v>
      </c>
      <c r="N22" s="12">
        <f t="shared" si="3"/>
        <v>84.023874002384957</v>
      </c>
      <c r="O22" s="14">
        <f t="shared" si="4"/>
        <v>0</v>
      </c>
      <c r="P22" s="15">
        <f t="shared" si="5"/>
        <v>-3.7623855395997765</v>
      </c>
      <c r="Q22" s="399">
        <f t="shared" si="6"/>
        <v>0.95714152124455909</v>
      </c>
      <c r="R22" s="615"/>
      <c r="S22" s="34"/>
      <c r="T22" s="34"/>
      <c r="U22" s="400"/>
      <c r="V22" s="411"/>
      <c r="W22" s="12"/>
      <c r="X22" s="12"/>
      <c r="Y22" s="24">
        <f>SUM(Y15:Y21)</f>
        <v>0</v>
      </c>
      <c r="Z22" s="24">
        <f>SUM(Z15:Z21)</f>
        <v>0</v>
      </c>
      <c r="AA22" s="614"/>
      <c r="AB22" s="614"/>
      <c r="AC22" s="24">
        <v>7</v>
      </c>
      <c r="AD22" s="24">
        <f>SUM(AD15:AD21)</f>
        <v>0</v>
      </c>
      <c r="AE22" s="14">
        <f t="shared" si="8"/>
        <v>-70.41035795536709</v>
      </c>
      <c r="AF22" s="399">
        <f t="shared" si="9"/>
        <v>0.9571415212445592</v>
      </c>
      <c r="AG22" s="615"/>
    </row>
    <row r="23" spans="1:33" ht="15.75" customHeight="1">
      <c r="A23" s="642" t="s">
        <v>1922</v>
      </c>
      <c r="B23" s="29" t="s">
        <v>15</v>
      </c>
      <c r="C23" s="640" t="s">
        <v>24</v>
      </c>
      <c r="D23" s="640"/>
      <c r="E23" s="29">
        <v>54.09</v>
      </c>
      <c r="F23" s="412">
        <v>1356</v>
      </c>
      <c r="G23" s="400">
        <f t="shared" ref="G23:G29" si="19">E23*F23</f>
        <v>73346.040000000008</v>
      </c>
      <c r="H23" s="33" t="s">
        <v>57</v>
      </c>
      <c r="I23" s="410">
        <v>17</v>
      </c>
      <c r="J23" s="31">
        <v>1500</v>
      </c>
      <c r="K23" s="12">
        <f t="shared" si="1"/>
        <v>88.235294117647058</v>
      </c>
      <c r="L23" s="410">
        <v>17</v>
      </c>
      <c r="M23" s="13">
        <f t="shared" ref="M23:M29" si="20">F23/V23*60</f>
        <v>1427.3684210526317</v>
      </c>
      <c r="N23" s="12">
        <f t="shared" si="3"/>
        <v>83.962848297213625</v>
      </c>
      <c r="O23" s="14">
        <f t="shared" si="4"/>
        <v>0</v>
      </c>
      <c r="P23" s="15">
        <f t="shared" si="5"/>
        <v>-4.2724458204334326</v>
      </c>
      <c r="Q23" s="399">
        <f t="shared" si="6"/>
        <v>0.95157894736842108</v>
      </c>
      <c r="R23" s="615">
        <f>Q30</f>
        <v>0.95615898730542559</v>
      </c>
      <c r="S23" s="34">
        <v>0.20833333333333334</v>
      </c>
      <c r="T23" s="34">
        <v>0.24791666666666667</v>
      </c>
      <c r="U23" s="400"/>
      <c r="V23" s="411">
        <f t="shared" ref="V23:V29" si="21">(T23-S23)*24*60</f>
        <v>57</v>
      </c>
      <c r="W23" s="21"/>
      <c r="X23" s="21"/>
      <c r="Y23" s="21"/>
      <c r="Z23" s="21"/>
      <c r="AA23" s="617"/>
      <c r="AB23" s="617"/>
      <c r="AC23" s="35">
        <v>7</v>
      </c>
      <c r="AD23" s="18"/>
      <c r="AE23" s="14">
        <f t="shared" si="8"/>
        <v>-72.631578947368325</v>
      </c>
      <c r="AF23" s="399">
        <f t="shared" si="9"/>
        <v>0.95157894736842108</v>
      </c>
      <c r="AG23" s="615">
        <f>AF30</f>
        <v>0.95615898730542559</v>
      </c>
    </row>
    <row r="24" spans="1:33" ht="15.75" customHeight="1">
      <c r="A24" s="643" t="s">
        <v>1923</v>
      </c>
      <c r="B24" s="29" t="s">
        <v>15</v>
      </c>
      <c r="C24" s="640" t="s">
        <v>28</v>
      </c>
      <c r="D24" s="640"/>
      <c r="E24" s="29">
        <v>50.67</v>
      </c>
      <c r="F24" s="412">
        <v>2258</v>
      </c>
      <c r="G24" s="400">
        <f t="shared" si="19"/>
        <v>114412.86</v>
      </c>
      <c r="H24" s="33" t="s">
        <v>57</v>
      </c>
      <c r="I24" s="410">
        <v>17</v>
      </c>
      <c r="J24" s="31">
        <v>2000</v>
      </c>
      <c r="K24" s="12">
        <f t="shared" si="1"/>
        <v>117.64705882352941</v>
      </c>
      <c r="L24" s="410">
        <v>17</v>
      </c>
      <c r="M24" s="13">
        <f t="shared" si="20"/>
        <v>1908.1690140845074</v>
      </c>
      <c r="N24" s="12">
        <f t="shared" si="3"/>
        <v>112.24523612261808</v>
      </c>
      <c r="O24" s="14">
        <f t="shared" si="4"/>
        <v>0</v>
      </c>
      <c r="P24" s="15">
        <f t="shared" si="5"/>
        <v>-5.4018227009113247</v>
      </c>
      <c r="Q24" s="399">
        <f t="shared" si="6"/>
        <v>0.95408450704225378</v>
      </c>
      <c r="R24" s="615"/>
      <c r="S24" s="34">
        <v>0.25277777777777777</v>
      </c>
      <c r="T24" s="34">
        <v>0.30208333333333331</v>
      </c>
      <c r="U24" s="400">
        <f t="shared" ref="U24:U29" si="22">IF(S24=TIME(17,0,0),"",(S24-T23)*24*60)</f>
        <v>6.9999999999999751</v>
      </c>
      <c r="V24" s="411">
        <f t="shared" si="21"/>
        <v>70.999999999999986</v>
      </c>
      <c r="W24" s="16"/>
      <c r="X24" s="400"/>
      <c r="Y24" s="400"/>
      <c r="Z24" s="400"/>
      <c r="AA24" s="617"/>
      <c r="AB24" s="617"/>
      <c r="AC24" s="35"/>
      <c r="AD24" s="18"/>
      <c r="AE24" s="14">
        <f t="shared" si="8"/>
        <v>-91.830985915492647</v>
      </c>
      <c r="AF24" s="399">
        <f t="shared" si="9"/>
        <v>0.95408450704225367</v>
      </c>
      <c r="AG24" s="615"/>
    </row>
    <row r="25" spans="1:33" ht="15.75" customHeight="1">
      <c r="A25" s="643" t="s">
        <v>1924</v>
      </c>
      <c r="B25" s="29" t="s">
        <v>15</v>
      </c>
      <c r="C25" s="640" t="s">
        <v>29</v>
      </c>
      <c r="D25" s="640"/>
      <c r="E25" s="29">
        <v>57.73</v>
      </c>
      <c r="F25" s="412">
        <v>2719</v>
      </c>
      <c r="G25" s="400">
        <f t="shared" si="19"/>
        <v>156967.87</v>
      </c>
      <c r="H25" s="33" t="s">
        <v>57</v>
      </c>
      <c r="I25" s="410">
        <v>14</v>
      </c>
      <c r="J25" s="31">
        <v>2000</v>
      </c>
      <c r="K25" s="12">
        <f t="shared" si="1"/>
        <v>142.85714285714286</v>
      </c>
      <c r="L25" s="410">
        <v>14</v>
      </c>
      <c r="M25" s="13">
        <f t="shared" si="20"/>
        <v>1919.2941176470583</v>
      </c>
      <c r="N25" s="12">
        <f t="shared" si="3"/>
        <v>137.09243697478988</v>
      </c>
      <c r="O25" s="14">
        <f t="shared" si="4"/>
        <v>0</v>
      </c>
      <c r="P25" s="15">
        <f t="shared" si="5"/>
        <v>-5.7647058823529846</v>
      </c>
      <c r="Q25" s="399">
        <f t="shared" si="6"/>
        <v>0.95964705882352908</v>
      </c>
      <c r="R25" s="615"/>
      <c r="S25" s="34">
        <v>0.30555555555555552</v>
      </c>
      <c r="T25" s="34">
        <v>0.36458333333333331</v>
      </c>
      <c r="U25" s="400">
        <f t="shared" si="22"/>
        <v>4.9999999999999822</v>
      </c>
      <c r="V25" s="411">
        <f t="shared" si="21"/>
        <v>85.000000000000014</v>
      </c>
      <c r="W25" s="16"/>
      <c r="X25" s="400"/>
      <c r="Y25" s="400"/>
      <c r="Z25" s="400"/>
      <c r="AA25" s="617"/>
      <c r="AB25" s="617"/>
      <c r="AC25" s="35"/>
      <c r="AD25" s="18"/>
      <c r="AE25" s="14">
        <f t="shared" si="8"/>
        <v>-80.705882352941671</v>
      </c>
      <c r="AF25" s="399">
        <f t="shared" si="9"/>
        <v>0.95964705882352919</v>
      </c>
      <c r="AG25" s="615"/>
    </row>
    <row r="26" spans="1:33" ht="15.75" customHeight="1">
      <c r="A26" s="643" t="s">
        <v>1922</v>
      </c>
      <c r="B26" s="29" t="s">
        <v>15</v>
      </c>
      <c r="C26" s="640" t="s">
        <v>80</v>
      </c>
      <c r="D26" s="640"/>
      <c r="E26" s="29">
        <v>53.27</v>
      </c>
      <c r="F26" s="412">
        <v>1856</v>
      </c>
      <c r="G26" s="400">
        <f t="shared" si="19"/>
        <v>98869.12000000001</v>
      </c>
      <c r="H26" s="33" t="s">
        <v>57</v>
      </c>
      <c r="I26" s="410">
        <v>16</v>
      </c>
      <c r="J26" s="31">
        <v>2000</v>
      </c>
      <c r="K26" s="12">
        <f t="shared" si="1"/>
        <v>125</v>
      </c>
      <c r="L26" s="410">
        <v>16</v>
      </c>
      <c r="M26" s="13">
        <f t="shared" si="20"/>
        <v>1919.9999999999986</v>
      </c>
      <c r="N26" s="12">
        <f t="shared" si="3"/>
        <v>119.99999999999991</v>
      </c>
      <c r="O26" s="14">
        <f t="shared" si="4"/>
        <v>0</v>
      </c>
      <c r="P26" s="15">
        <f t="shared" si="5"/>
        <v>-5.0000000000000853</v>
      </c>
      <c r="Q26" s="399">
        <f t="shared" si="6"/>
        <v>0.9599999999999993</v>
      </c>
      <c r="R26" s="615"/>
      <c r="S26" s="34">
        <v>0.36874999999999997</v>
      </c>
      <c r="T26" s="34">
        <v>0.40902777777777777</v>
      </c>
      <c r="U26" s="400">
        <f t="shared" si="22"/>
        <v>5.9999999999999787</v>
      </c>
      <c r="V26" s="411">
        <f t="shared" si="21"/>
        <v>58.000000000000036</v>
      </c>
      <c r="W26" s="16"/>
      <c r="X26" s="400"/>
      <c r="Y26" s="400"/>
      <c r="Z26" s="400"/>
      <c r="AA26" s="617"/>
      <c r="AB26" s="617"/>
      <c r="AC26" s="35"/>
      <c r="AD26" s="18"/>
      <c r="AE26" s="14">
        <f t="shared" si="8"/>
        <v>-80.000000000001364</v>
      </c>
      <c r="AF26" s="399">
        <f t="shared" si="9"/>
        <v>0.9599999999999993</v>
      </c>
      <c r="AG26" s="615"/>
    </row>
    <row r="27" spans="1:33" ht="15.75" customHeight="1">
      <c r="A27" s="643" t="s">
        <v>1924</v>
      </c>
      <c r="B27" s="29" t="s">
        <v>15</v>
      </c>
      <c r="C27" s="640" t="s">
        <v>1472</v>
      </c>
      <c r="D27" s="640"/>
      <c r="E27" s="29">
        <v>51.44</v>
      </c>
      <c r="F27" s="412">
        <v>3167</v>
      </c>
      <c r="G27" s="400">
        <f t="shared" si="19"/>
        <v>162910.47999999998</v>
      </c>
      <c r="H27" s="33" t="s">
        <v>57</v>
      </c>
      <c r="I27" s="410">
        <v>25</v>
      </c>
      <c r="J27" s="31">
        <v>2000</v>
      </c>
      <c r="K27" s="12">
        <f t="shared" si="1"/>
        <v>80</v>
      </c>
      <c r="L27" s="410">
        <v>25</v>
      </c>
      <c r="M27" s="13">
        <f t="shared" si="20"/>
        <v>1919.3939393939399</v>
      </c>
      <c r="N27" s="12">
        <f t="shared" si="3"/>
        <v>76.775757575757595</v>
      </c>
      <c r="O27" s="14">
        <f t="shared" si="4"/>
        <v>0</v>
      </c>
      <c r="P27" s="15">
        <f t="shared" si="5"/>
        <v>-3.224242424242405</v>
      </c>
      <c r="Q27" s="399">
        <f t="shared" si="6"/>
        <v>0.95969696969696994</v>
      </c>
      <c r="R27" s="615"/>
      <c r="S27" s="34">
        <v>0.41388888888888886</v>
      </c>
      <c r="T27" s="34">
        <v>0.48263888888888884</v>
      </c>
      <c r="U27" s="400">
        <f t="shared" si="22"/>
        <v>6.9999999999999751</v>
      </c>
      <c r="V27" s="411">
        <f t="shared" si="21"/>
        <v>98.999999999999972</v>
      </c>
      <c r="W27" s="16"/>
      <c r="X27" s="16"/>
      <c r="Y27" s="400"/>
      <c r="Z27" s="400"/>
      <c r="AA27" s="617"/>
      <c r="AB27" s="617"/>
      <c r="AC27" s="35"/>
      <c r="AD27" s="18"/>
      <c r="AE27" s="14">
        <f t="shared" si="8"/>
        <v>-80.606060606060055</v>
      </c>
      <c r="AF27" s="399">
        <f t="shared" si="9"/>
        <v>0.95969696969696994</v>
      </c>
      <c r="AG27" s="615"/>
    </row>
    <row r="28" spans="1:33" ht="15.75" customHeight="1">
      <c r="A28" s="643" t="s">
        <v>1922</v>
      </c>
      <c r="B28" s="29" t="s">
        <v>15</v>
      </c>
      <c r="C28" s="640" t="s">
        <v>30</v>
      </c>
      <c r="D28" s="640"/>
      <c r="E28" s="29">
        <v>50.49</v>
      </c>
      <c r="F28" s="412">
        <v>2065</v>
      </c>
      <c r="G28" s="400">
        <f t="shared" si="19"/>
        <v>104261.85</v>
      </c>
      <c r="H28" s="33" t="s">
        <v>57</v>
      </c>
      <c r="I28" s="410">
        <v>15</v>
      </c>
      <c r="J28" s="31">
        <v>2000</v>
      </c>
      <c r="K28" s="12">
        <f t="shared" si="1"/>
        <v>133.33333333333334</v>
      </c>
      <c r="L28" s="410">
        <v>15</v>
      </c>
      <c r="M28" s="13">
        <f t="shared" si="20"/>
        <v>1906.1538461538482</v>
      </c>
      <c r="N28" s="12">
        <f t="shared" si="3"/>
        <v>127.07692307692322</v>
      </c>
      <c r="O28" s="14">
        <f t="shared" si="4"/>
        <v>0</v>
      </c>
      <c r="P28" s="15">
        <f t="shared" si="5"/>
        <v>-6.2564102564101205</v>
      </c>
      <c r="Q28" s="399">
        <f t="shared" si="6"/>
        <v>0.95307692307692415</v>
      </c>
      <c r="R28" s="615"/>
      <c r="S28" s="34">
        <v>0.70833333333333337</v>
      </c>
      <c r="T28" s="34">
        <v>0.75347222222222221</v>
      </c>
      <c r="U28" s="400" t="str">
        <f t="shared" si="22"/>
        <v/>
      </c>
      <c r="V28" s="411">
        <f t="shared" si="21"/>
        <v>64.999999999999929</v>
      </c>
      <c r="W28" s="16"/>
      <c r="X28" s="21"/>
      <c r="Y28" s="21"/>
      <c r="Z28" s="21"/>
      <c r="AA28" s="617"/>
      <c r="AB28" s="617"/>
      <c r="AC28" s="35"/>
      <c r="AD28" s="18"/>
      <c r="AE28" s="14">
        <f t="shared" si="8"/>
        <v>-93.846153846151765</v>
      </c>
      <c r="AF28" s="399">
        <f t="shared" si="9"/>
        <v>0.95307692307692415</v>
      </c>
      <c r="AG28" s="615"/>
    </row>
    <row r="29" spans="1:33" ht="15.75" customHeight="1">
      <c r="A29" s="643" t="s">
        <v>1925</v>
      </c>
      <c r="B29" s="29" t="s">
        <v>15</v>
      </c>
      <c r="C29" s="666" t="s">
        <v>82</v>
      </c>
      <c r="D29" s="667"/>
      <c r="E29" s="29">
        <v>51.06</v>
      </c>
      <c r="F29" s="412">
        <v>3275</v>
      </c>
      <c r="G29" s="400">
        <f t="shared" si="19"/>
        <v>167221.5</v>
      </c>
      <c r="H29" s="33" t="s">
        <v>57</v>
      </c>
      <c r="I29" s="410">
        <v>13</v>
      </c>
      <c r="J29" s="31">
        <v>2000</v>
      </c>
      <c r="K29" s="12">
        <f t="shared" si="1"/>
        <v>153.84615384615384</v>
      </c>
      <c r="L29" s="410">
        <v>13</v>
      </c>
      <c r="M29" s="13">
        <f t="shared" si="20"/>
        <v>1907.766990291263</v>
      </c>
      <c r="N29" s="12">
        <f t="shared" si="3"/>
        <v>146.75130694548176</v>
      </c>
      <c r="O29" s="14">
        <f t="shared" si="4"/>
        <v>0</v>
      </c>
      <c r="P29" s="15">
        <f t="shared" si="5"/>
        <v>-7.0948469006720813</v>
      </c>
      <c r="Q29" s="399">
        <f t="shared" si="6"/>
        <v>0.95388349514563142</v>
      </c>
      <c r="R29" s="615"/>
      <c r="S29" s="34">
        <v>0.7583333333333333</v>
      </c>
      <c r="T29" s="34">
        <v>0.82986111111111105</v>
      </c>
      <c r="U29" s="400">
        <f t="shared" si="22"/>
        <v>6.9999999999999751</v>
      </c>
      <c r="V29" s="411">
        <f t="shared" si="21"/>
        <v>102.99999999999996</v>
      </c>
      <c r="W29" s="16"/>
      <c r="X29" s="21"/>
      <c r="Y29" s="22"/>
      <c r="Z29" s="22"/>
      <c r="AA29" s="624"/>
      <c r="AB29" s="625"/>
      <c r="AC29" s="35"/>
      <c r="AD29" s="18"/>
      <c r="AE29" s="14">
        <f t="shared" si="8"/>
        <v>-92.233009708736972</v>
      </c>
      <c r="AF29" s="399">
        <f t="shared" si="9"/>
        <v>0.95388349514563153</v>
      </c>
      <c r="AG29" s="615"/>
    </row>
    <row r="30" spans="1:33" ht="15.75" customHeight="1">
      <c r="A30" s="643" t="s">
        <v>1922</v>
      </c>
      <c r="B30" s="29" t="s">
        <v>1917</v>
      </c>
      <c r="C30" s="618"/>
      <c r="D30" s="618"/>
      <c r="E30" s="402"/>
      <c r="F30" s="412"/>
      <c r="G30" s="400"/>
      <c r="H30" s="412"/>
      <c r="I30" s="23">
        <v>16.714285714285715</v>
      </c>
      <c r="J30" s="31">
        <v>1928.5714285714287</v>
      </c>
      <c r="K30" s="12">
        <f t="shared" si="1"/>
        <v>115.38461538461539</v>
      </c>
      <c r="L30" s="23">
        <v>16.714285714285715</v>
      </c>
      <c r="M30" s="13">
        <f>AVERAGE(M23:M29)</f>
        <v>1844.0209040890352</v>
      </c>
      <c r="N30" s="12">
        <f t="shared" si="3"/>
        <v>110.32603699677988</v>
      </c>
      <c r="O30" s="14">
        <f t="shared" si="4"/>
        <v>0</v>
      </c>
      <c r="P30" s="15">
        <f t="shared" si="5"/>
        <v>-5.0585783878355102</v>
      </c>
      <c r="Q30" s="399">
        <f t="shared" si="6"/>
        <v>0.95615898730542559</v>
      </c>
      <c r="R30" s="615"/>
      <c r="S30" s="34"/>
      <c r="T30" s="34"/>
      <c r="U30" s="12"/>
      <c r="V30" s="411"/>
      <c r="W30" s="12"/>
      <c r="X30" s="12"/>
      <c r="Y30" s="24">
        <f>SUM(Y23:Y29)</f>
        <v>0</v>
      </c>
      <c r="Z30" s="24">
        <f>SUM(Z23:Z29)</f>
        <v>0</v>
      </c>
      <c r="AA30" s="614"/>
      <c r="AB30" s="614"/>
      <c r="AC30" s="24">
        <v>7</v>
      </c>
      <c r="AD30" s="24">
        <f>SUM(AD23:AD29)</f>
        <v>0</v>
      </c>
      <c r="AE30" s="14">
        <f t="shared" si="8"/>
        <v>-84.550524482393485</v>
      </c>
      <c r="AF30" s="399">
        <f t="shared" si="9"/>
        <v>0.95615898730542559</v>
      </c>
      <c r="AG30" s="615"/>
    </row>
    <row r="31" spans="1:33" ht="15.75" customHeight="1">
      <c r="A31" s="641" t="s">
        <v>1926</v>
      </c>
      <c r="B31" s="29" t="s">
        <v>32</v>
      </c>
      <c r="C31" s="640" t="s">
        <v>33</v>
      </c>
      <c r="D31" s="640"/>
      <c r="E31" s="29">
        <v>31.29</v>
      </c>
      <c r="F31" s="412">
        <v>6300</v>
      </c>
      <c r="G31" s="400">
        <f t="shared" ref="G31:G38" si="23">E31*F31</f>
        <v>197127</v>
      </c>
      <c r="H31" s="33">
        <v>2</v>
      </c>
      <c r="I31" s="410">
        <v>18</v>
      </c>
      <c r="J31" s="31">
        <v>2400</v>
      </c>
      <c r="K31" s="12">
        <f t="shared" si="1"/>
        <v>133.33333333333334</v>
      </c>
      <c r="L31" s="410">
        <v>18</v>
      </c>
      <c r="M31" s="13">
        <f t="shared" ref="M31:M38" si="24">F31/V31*60</f>
        <v>2290.909090909091</v>
      </c>
      <c r="N31" s="12">
        <f t="shared" si="3"/>
        <v>127.27272727272728</v>
      </c>
      <c r="O31" s="14">
        <f t="shared" si="4"/>
        <v>0</v>
      </c>
      <c r="P31" s="15">
        <f t="shared" si="5"/>
        <v>-6.0606060606060623</v>
      </c>
      <c r="Q31" s="399">
        <f t="shared" si="6"/>
        <v>0.95454545454545459</v>
      </c>
      <c r="R31" s="615">
        <f>Q39</f>
        <v>0.95659497454194065</v>
      </c>
      <c r="S31" s="34">
        <v>8.3333333333333329E-2</v>
      </c>
      <c r="T31" s="34">
        <v>0.19791666666666666</v>
      </c>
      <c r="U31" s="400"/>
      <c r="V31" s="411">
        <f t="shared" ref="V31:V38" si="25">(T31-S31)*24*60</f>
        <v>165</v>
      </c>
      <c r="W31" s="16">
        <f>T31</f>
        <v>0.19791666666666666</v>
      </c>
      <c r="X31" s="16">
        <f>S32</f>
        <v>0.2159722222222222</v>
      </c>
      <c r="Y31" s="16"/>
      <c r="Z31" s="16"/>
      <c r="AA31" s="617"/>
      <c r="AB31" s="617"/>
      <c r="AC31" s="35">
        <v>8</v>
      </c>
      <c r="AD31" s="18"/>
      <c r="AE31" s="14">
        <f t="shared" si="8"/>
        <v>-109.09090909090901</v>
      </c>
      <c r="AF31" s="399">
        <f t="shared" si="9"/>
        <v>0.95454545454545459</v>
      </c>
      <c r="AG31" s="615">
        <f>AF39</f>
        <v>0.95659497454194065</v>
      </c>
    </row>
    <row r="32" spans="1:33" ht="15.75" customHeight="1">
      <c r="A32" s="641" t="s">
        <v>1926</v>
      </c>
      <c r="B32" s="29" t="s">
        <v>32</v>
      </c>
      <c r="C32" s="640" t="s">
        <v>34</v>
      </c>
      <c r="D32" s="640"/>
      <c r="E32" s="29">
        <v>26.37</v>
      </c>
      <c r="F32" s="412">
        <v>4100</v>
      </c>
      <c r="G32" s="400">
        <f t="shared" si="23"/>
        <v>108117</v>
      </c>
      <c r="H32" s="33">
        <v>2</v>
      </c>
      <c r="I32" s="410">
        <v>18</v>
      </c>
      <c r="J32" s="31">
        <v>2400</v>
      </c>
      <c r="K32" s="12">
        <f t="shared" si="1"/>
        <v>133.33333333333334</v>
      </c>
      <c r="L32" s="410">
        <v>18</v>
      </c>
      <c r="M32" s="13">
        <f t="shared" si="24"/>
        <v>2299.065420560748</v>
      </c>
      <c r="N32" s="12">
        <f t="shared" si="3"/>
        <v>127.72585669781932</v>
      </c>
      <c r="O32" s="14">
        <f t="shared" si="4"/>
        <v>0</v>
      </c>
      <c r="P32" s="15">
        <f t="shared" si="5"/>
        <v>-5.6074766355140184</v>
      </c>
      <c r="Q32" s="399">
        <f t="shared" si="6"/>
        <v>0.95794392523364491</v>
      </c>
      <c r="R32" s="615"/>
      <c r="S32" s="34">
        <v>0.2159722222222222</v>
      </c>
      <c r="T32" s="34">
        <v>0.29027777777777775</v>
      </c>
      <c r="U32" s="400">
        <f t="shared" ref="U32:U38" si="26">(S32-T31)*24*60</f>
        <v>25.999999999999986</v>
      </c>
      <c r="V32" s="411">
        <f t="shared" si="25"/>
        <v>106.99999999999999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-100.93457943925205</v>
      </c>
      <c r="AF32" s="399">
        <f t="shared" si="9"/>
        <v>0.95794392523364502</v>
      </c>
      <c r="AG32" s="615"/>
    </row>
    <row r="33" spans="1:33" ht="15.75" customHeight="1">
      <c r="A33" s="641" t="s">
        <v>1926</v>
      </c>
      <c r="B33" s="29" t="s">
        <v>32</v>
      </c>
      <c r="C33" s="640" t="s">
        <v>76</v>
      </c>
      <c r="D33" s="640"/>
      <c r="E33" s="29">
        <v>26.18</v>
      </c>
      <c r="F33" s="412">
        <v>5100</v>
      </c>
      <c r="G33" s="400">
        <f t="shared" si="23"/>
        <v>133518</v>
      </c>
      <c r="H33" s="33">
        <v>2</v>
      </c>
      <c r="I33" s="410">
        <v>18</v>
      </c>
      <c r="J33" s="31">
        <v>2400</v>
      </c>
      <c r="K33" s="12">
        <f t="shared" si="1"/>
        <v>133.33333333333334</v>
      </c>
      <c r="L33" s="410">
        <v>18</v>
      </c>
      <c r="M33" s="13">
        <f t="shared" si="24"/>
        <v>2283.5820895522388</v>
      </c>
      <c r="N33" s="12">
        <f t="shared" si="3"/>
        <v>126.86567164179104</v>
      </c>
      <c r="O33" s="14">
        <f t="shared" si="4"/>
        <v>0</v>
      </c>
      <c r="P33" s="15">
        <f t="shared" si="5"/>
        <v>-6.467661691542304</v>
      </c>
      <c r="Q33" s="399">
        <f t="shared" si="6"/>
        <v>0.95149253731343275</v>
      </c>
      <c r="R33" s="615"/>
      <c r="S33" s="34">
        <v>0.29374999999999996</v>
      </c>
      <c r="T33" s="34">
        <v>0.38680555555555551</v>
      </c>
      <c r="U33" s="400">
        <f t="shared" si="26"/>
        <v>4.9999999999999822</v>
      </c>
      <c r="V33" s="411">
        <f t="shared" si="25"/>
        <v>134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-116.41791044776119</v>
      </c>
      <c r="AF33" s="399">
        <f t="shared" si="9"/>
        <v>0.95149253731343286</v>
      </c>
      <c r="AG33" s="615"/>
    </row>
    <row r="34" spans="1:33" ht="15.75" customHeight="1">
      <c r="A34" s="641" t="s">
        <v>1926</v>
      </c>
      <c r="B34" s="29" t="s">
        <v>32</v>
      </c>
      <c r="C34" s="640" t="s">
        <v>79</v>
      </c>
      <c r="D34" s="640"/>
      <c r="E34" s="29">
        <v>25.99</v>
      </c>
      <c r="F34" s="412">
        <v>2299</v>
      </c>
      <c r="G34" s="400">
        <f t="shared" si="23"/>
        <v>59751.009999999995</v>
      </c>
      <c r="H34" s="33" t="s">
        <v>57</v>
      </c>
      <c r="I34" s="410">
        <v>18</v>
      </c>
      <c r="J34" s="31">
        <v>2400</v>
      </c>
      <c r="K34" s="12">
        <f t="shared" si="1"/>
        <v>133.33333333333334</v>
      </c>
      <c r="L34" s="410">
        <v>18</v>
      </c>
      <c r="M34" s="13">
        <f t="shared" si="24"/>
        <v>2298.9999999999991</v>
      </c>
      <c r="N34" s="12">
        <f t="shared" si="3"/>
        <v>127.72222222222217</v>
      </c>
      <c r="O34" s="14">
        <f t="shared" si="4"/>
        <v>0</v>
      </c>
      <c r="P34" s="15">
        <f t="shared" si="5"/>
        <v>-5.6111111111111711</v>
      </c>
      <c r="Q34" s="399">
        <f t="shared" si="6"/>
        <v>0.95791666666666619</v>
      </c>
      <c r="R34" s="615"/>
      <c r="S34" s="34">
        <v>0.39097222222222217</v>
      </c>
      <c r="T34" s="34">
        <v>0.43263888888888885</v>
      </c>
      <c r="U34" s="400">
        <f t="shared" si="26"/>
        <v>5.9999999999999787</v>
      </c>
      <c r="V34" s="411">
        <f t="shared" si="25"/>
        <v>60.000000000000028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-101.00000000000091</v>
      </c>
      <c r="AF34" s="399">
        <f t="shared" si="9"/>
        <v>0.95791666666666631</v>
      </c>
      <c r="AG34" s="615"/>
    </row>
    <row r="35" spans="1:33" ht="15.75" customHeight="1">
      <c r="A35" s="641" t="s">
        <v>1926</v>
      </c>
      <c r="B35" s="29" t="s">
        <v>32</v>
      </c>
      <c r="C35" s="640" t="s">
        <v>35</v>
      </c>
      <c r="D35" s="640"/>
      <c r="E35" s="29">
        <v>25.99</v>
      </c>
      <c r="F35" s="412">
        <v>4512</v>
      </c>
      <c r="G35" s="400">
        <f t="shared" si="23"/>
        <v>117266.87999999999</v>
      </c>
      <c r="H35" s="33" t="s">
        <v>57</v>
      </c>
      <c r="I35" s="410">
        <v>14</v>
      </c>
      <c r="J35" s="31">
        <v>2400</v>
      </c>
      <c r="K35" s="12">
        <f t="shared" si="1"/>
        <v>171.42857142857142</v>
      </c>
      <c r="L35" s="410">
        <v>14</v>
      </c>
      <c r="M35" s="13">
        <f t="shared" si="24"/>
        <v>2294.2372881355936</v>
      </c>
      <c r="N35" s="12">
        <f t="shared" si="3"/>
        <v>163.87409200968526</v>
      </c>
      <c r="O35" s="14">
        <f t="shared" si="4"/>
        <v>0</v>
      </c>
      <c r="P35" s="15">
        <f t="shared" si="5"/>
        <v>-7.5544794188861601</v>
      </c>
      <c r="Q35" s="399">
        <f t="shared" si="6"/>
        <v>0.95593220338983076</v>
      </c>
      <c r="R35" s="615"/>
      <c r="S35" s="34">
        <v>0.43611111111111106</v>
      </c>
      <c r="T35" s="34">
        <v>0.51805555555555549</v>
      </c>
      <c r="U35" s="400">
        <f t="shared" si="26"/>
        <v>4.9999999999999822</v>
      </c>
      <c r="V35" s="411">
        <f t="shared" si="25"/>
        <v>117.99999999999999</v>
      </c>
      <c r="W35" s="16">
        <f>T35</f>
        <v>0.51805555555555549</v>
      </c>
      <c r="X35" s="16">
        <f>S36</f>
        <v>0.5576388888888888</v>
      </c>
      <c r="Y35" s="16"/>
      <c r="Z35" s="16"/>
      <c r="AA35" s="617"/>
      <c r="AB35" s="617"/>
      <c r="AC35" s="35"/>
      <c r="AD35" s="18"/>
      <c r="AE35" s="14">
        <f t="shared" si="8"/>
        <v>-105.76271186440636</v>
      </c>
      <c r="AF35" s="399">
        <f t="shared" si="9"/>
        <v>0.95593220338983065</v>
      </c>
      <c r="AG35" s="615"/>
    </row>
    <row r="36" spans="1:33" ht="15.75" customHeight="1">
      <c r="A36" s="641" t="s">
        <v>1926</v>
      </c>
      <c r="B36" s="29" t="s">
        <v>32</v>
      </c>
      <c r="C36" s="640" t="s">
        <v>33</v>
      </c>
      <c r="D36" s="640"/>
      <c r="E36" s="29">
        <v>31.29</v>
      </c>
      <c r="F36" s="412">
        <v>4617</v>
      </c>
      <c r="G36" s="400">
        <f t="shared" si="23"/>
        <v>144465.93</v>
      </c>
      <c r="H36" s="33" t="s">
        <v>57</v>
      </c>
      <c r="I36" s="410">
        <v>18</v>
      </c>
      <c r="J36" s="31">
        <v>2400</v>
      </c>
      <c r="K36" s="12">
        <f t="shared" si="1"/>
        <v>133.33333333333334</v>
      </c>
      <c r="L36" s="410">
        <v>18</v>
      </c>
      <c r="M36" s="13">
        <f t="shared" si="24"/>
        <v>2289.4214876033047</v>
      </c>
      <c r="N36" s="12">
        <f t="shared" si="3"/>
        <v>127.19008264462803</v>
      </c>
      <c r="O36" s="14">
        <f t="shared" si="4"/>
        <v>0</v>
      </c>
      <c r="P36" s="15">
        <f t="shared" si="5"/>
        <v>-6.143250688705308</v>
      </c>
      <c r="Q36" s="399">
        <f t="shared" si="6"/>
        <v>0.95392561983471025</v>
      </c>
      <c r="R36" s="615"/>
      <c r="S36" s="34">
        <v>0.5576388888888888</v>
      </c>
      <c r="T36" s="34">
        <v>0.64166666666666661</v>
      </c>
      <c r="U36" s="400">
        <f t="shared" si="26"/>
        <v>56.999999999999957</v>
      </c>
      <c r="V36" s="411">
        <f t="shared" si="25"/>
        <v>121.00000000000006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-110.57851239669526</v>
      </c>
      <c r="AF36" s="399">
        <f t="shared" si="9"/>
        <v>0.95392561983471036</v>
      </c>
      <c r="AG36" s="615"/>
    </row>
    <row r="37" spans="1:33" ht="15.75" customHeight="1">
      <c r="A37" s="641" t="s">
        <v>1926</v>
      </c>
      <c r="B37" s="29" t="s">
        <v>32</v>
      </c>
      <c r="C37" s="640" t="s">
        <v>34</v>
      </c>
      <c r="D37" s="640"/>
      <c r="E37" s="29">
        <v>26.37</v>
      </c>
      <c r="F37" s="412">
        <v>2812</v>
      </c>
      <c r="G37" s="400">
        <f t="shared" si="23"/>
        <v>74152.44</v>
      </c>
      <c r="H37" s="33" t="s">
        <v>57</v>
      </c>
      <c r="I37" s="410">
        <v>18</v>
      </c>
      <c r="J37" s="31">
        <v>2400</v>
      </c>
      <c r="K37" s="12">
        <f t="shared" si="1"/>
        <v>133.33333333333334</v>
      </c>
      <c r="L37" s="410">
        <v>18</v>
      </c>
      <c r="M37" s="13">
        <f t="shared" si="24"/>
        <v>2311.2328767123272</v>
      </c>
      <c r="N37" s="12">
        <f t="shared" si="3"/>
        <v>128.40182648401819</v>
      </c>
      <c r="O37" s="14">
        <f t="shared" si="4"/>
        <v>0</v>
      </c>
      <c r="P37" s="15">
        <f t="shared" si="5"/>
        <v>-4.9315068493151557</v>
      </c>
      <c r="Q37" s="399">
        <f t="shared" si="6"/>
        <v>0.96301369863013631</v>
      </c>
      <c r="R37" s="615"/>
      <c r="S37" s="34">
        <v>0.64513888888888882</v>
      </c>
      <c r="T37" s="34">
        <v>0.6958333333333333</v>
      </c>
      <c r="U37" s="400">
        <f t="shared" si="26"/>
        <v>4.9999999999999822</v>
      </c>
      <c r="V37" s="411">
        <f t="shared" si="25"/>
        <v>73.000000000000057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-88.767123287672803</v>
      </c>
      <c r="AF37" s="399">
        <f t="shared" si="9"/>
        <v>0.96301369863013631</v>
      </c>
      <c r="AG37" s="615"/>
    </row>
    <row r="38" spans="1:33" ht="15.75" customHeight="1">
      <c r="A38" s="641" t="s">
        <v>1926</v>
      </c>
      <c r="B38" s="29" t="s">
        <v>32</v>
      </c>
      <c r="C38" s="408" t="s">
        <v>76</v>
      </c>
      <c r="D38" s="409"/>
      <c r="E38" s="29">
        <v>26.18</v>
      </c>
      <c r="F38" s="412">
        <v>3717</v>
      </c>
      <c r="G38" s="400">
        <f t="shared" si="23"/>
        <v>97311.06</v>
      </c>
      <c r="H38" s="33" t="s">
        <v>57</v>
      </c>
      <c r="I38" s="410">
        <v>18</v>
      </c>
      <c r="J38" s="31">
        <v>2400</v>
      </c>
      <c r="K38" s="12">
        <f t="shared" si="1"/>
        <v>133.33333333333334</v>
      </c>
      <c r="L38" s="410">
        <v>18</v>
      </c>
      <c r="M38" s="13">
        <f t="shared" si="24"/>
        <v>2299.1752577319594</v>
      </c>
      <c r="N38" s="12">
        <f t="shared" si="3"/>
        <v>127.73195876288663</v>
      </c>
      <c r="O38" s="14">
        <f t="shared" si="4"/>
        <v>0</v>
      </c>
      <c r="P38" s="15">
        <f t="shared" si="5"/>
        <v>-5.6013745704467084</v>
      </c>
      <c r="Q38" s="399">
        <f t="shared" si="6"/>
        <v>0.95798969072164974</v>
      </c>
      <c r="R38" s="615"/>
      <c r="S38" s="34">
        <v>0.7006944444444444</v>
      </c>
      <c r="T38" s="34">
        <v>0.76805555555555549</v>
      </c>
      <c r="U38" s="400">
        <f t="shared" si="26"/>
        <v>6.9999999999999751</v>
      </c>
      <c r="V38" s="411">
        <f t="shared" si="25"/>
        <v>96.999999999999972</v>
      </c>
      <c r="W38" s="16"/>
      <c r="X38" s="16"/>
      <c r="Y38" s="16"/>
      <c r="Z38" s="16"/>
      <c r="AA38" s="406"/>
      <c r="AB38" s="407"/>
      <c r="AC38" s="35"/>
      <c r="AD38" s="18"/>
      <c r="AE38" s="14">
        <f t="shared" si="8"/>
        <v>-100.82474226804061</v>
      </c>
      <c r="AF38" s="399">
        <f t="shared" si="9"/>
        <v>0.95798969072164974</v>
      </c>
      <c r="AG38" s="615"/>
    </row>
    <row r="39" spans="1:33" ht="15.75" customHeight="1">
      <c r="A39" s="641" t="s">
        <v>1926</v>
      </c>
      <c r="B39" s="29" t="s">
        <v>1917</v>
      </c>
      <c r="C39" s="618"/>
      <c r="D39" s="618"/>
      <c r="E39" s="402"/>
      <c r="F39" s="412"/>
      <c r="G39" s="400"/>
      <c r="H39" s="412"/>
      <c r="I39" s="23">
        <v>17.5</v>
      </c>
      <c r="J39" s="31">
        <v>2400</v>
      </c>
      <c r="K39" s="12">
        <f t="shared" si="1"/>
        <v>137.14285714285714</v>
      </c>
      <c r="L39" s="23">
        <v>17.5</v>
      </c>
      <c r="M39" s="13">
        <f>AVERAGE(M31:M38)</f>
        <v>2295.8279389006575</v>
      </c>
      <c r="N39" s="12">
        <f t="shared" si="3"/>
        <v>131.19016793718043</v>
      </c>
      <c r="O39" s="14">
        <f t="shared" si="4"/>
        <v>0</v>
      </c>
      <c r="P39" s="15">
        <f t="shared" si="5"/>
        <v>-5.9526892056767053</v>
      </c>
      <c r="Q39" s="399">
        <f t="shared" si="6"/>
        <v>0.95659497454194065</v>
      </c>
      <c r="R39" s="615"/>
      <c r="S39" s="34"/>
      <c r="T39" s="34"/>
      <c r="U39" s="400"/>
      <c r="V39" s="411"/>
      <c r="W39" s="400"/>
      <c r="X39" s="400"/>
      <c r="Y39" s="24">
        <f>SUM(Y31:Y38)</f>
        <v>0</v>
      </c>
      <c r="Z39" s="24">
        <f>SUM(Z31:Z38)</f>
        <v>0</v>
      </c>
      <c r="AA39" s="614"/>
      <c r="AB39" s="614"/>
      <c r="AC39" s="24">
        <v>8</v>
      </c>
      <c r="AD39" s="24">
        <f>SUM(AD31:AD38)</f>
        <v>0</v>
      </c>
      <c r="AE39" s="14">
        <f t="shared" si="8"/>
        <v>-104.1720610993425</v>
      </c>
      <c r="AF39" s="399">
        <f t="shared" si="9"/>
        <v>0.95659497454194065</v>
      </c>
      <c r="AG39" s="615"/>
    </row>
    <row r="40" spans="1:33" ht="15.75" customHeight="1">
      <c r="A40" s="638" t="s">
        <v>1927</v>
      </c>
      <c r="B40" s="29" t="s">
        <v>32</v>
      </c>
      <c r="C40" s="616" t="s">
        <v>77</v>
      </c>
      <c r="D40" s="616"/>
      <c r="E40" s="29">
        <v>26.18</v>
      </c>
      <c r="F40" s="412">
        <v>3900</v>
      </c>
      <c r="G40" s="400">
        <f t="shared" ref="G40:G47" si="27">E40*F40</f>
        <v>102102</v>
      </c>
      <c r="H40" s="33">
        <v>2</v>
      </c>
      <c r="I40" s="410">
        <v>20</v>
      </c>
      <c r="J40" s="31">
        <v>2400</v>
      </c>
      <c r="K40" s="12">
        <f t="shared" si="1"/>
        <v>120</v>
      </c>
      <c r="L40" s="410">
        <v>20</v>
      </c>
      <c r="M40" s="13">
        <f t="shared" ref="M40:M47" si="28">F40/V40*60</f>
        <v>2294.117647058823</v>
      </c>
      <c r="N40" s="12">
        <f t="shared" si="3"/>
        <v>114.70588235294115</v>
      </c>
      <c r="O40" s="14">
        <f t="shared" si="4"/>
        <v>0</v>
      </c>
      <c r="P40" s="15">
        <f t="shared" si="5"/>
        <v>-5.2941176470588545</v>
      </c>
      <c r="Q40" s="399">
        <f t="shared" si="6"/>
        <v>0.95588235294117618</v>
      </c>
      <c r="R40" s="615">
        <f>Q48</f>
        <v>0.9555834428732306</v>
      </c>
      <c r="S40" s="34">
        <v>8.3333333333333329E-2</v>
      </c>
      <c r="T40" s="34">
        <v>0.15416666666666667</v>
      </c>
      <c r="U40" s="400"/>
      <c r="V40" s="411">
        <f t="shared" ref="V40:V47" si="29">(T40-S40)*24*60</f>
        <v>102.00000000000001</v>
      </c>
      <c r="W40" s="21">
        <f>T40</f>
        <v>0.15416666666666667</v>
      </c>
      <c r="X40" s="21">
        <f>S41</f>
        <v>0.17222222222222222</v>
      </c>
      <c r="Y40" s="21"/>
      <c r="Z40" s="21"/>
      <c r="AA40" s="617"/>
      <c r="AB40" s="617"/>
      <c r="AC40" s="35">
        <v>8</v>
      </c>
      <c r="AD40" s="18"/>
      <c r="AE40" s="14">
        <f t="shared" si="8"/>
        <v>-105.88235294117703</v>
      </c>
      <c r="AF40" s="399">
        <f t="shared" si="9"/>
        <v>0.95588235294117618</v>
      </c>
      <c r="AG40" s="615">
        <f>AF48</f>
        <v>0.95558344287323049</v>
      </c>
    </row>
    <row r="41" spans="1:33" ht="15.75" customHeight="1">
      <c r="A41" s="638" t="s">
        <v>1927</v>
      </c>
      <c r="B41" s="29" t="s">
        <v>32</v>
      </c>
      <c r="C41" s="616" t="s">
        <v>37</v>
      </c>
      <c r="D41" s="616"/>
      <c r="E41" s="29">
        <v>24.43</v>
      </c>
      <c r="F41" s="412">
        <v>4200</v>
      </c>
      <c r="G41" s="400">
        <f t="shared" si="27"/>
        <v>102606</v>
      </c>
      <c r="H41" s="33">
        <v>2</v>
      </c>
      <c r="I41" s="410">
        <v>14</v>
      </c>
      <c r="J41" s="31">
        <v>2400</v>
      </c>
      <c r="K41" s="12">
        <f t="shared" si="1"/>
        <v>171.42857142857142</v>
      </c>
      <c r="L41" s="410">
        <v>14</v>
      </c>
      <c r="M41" s="13">
        <f t="shared" si="28"/>
        <v>2290.909090909091</v>
      </c>
      <c r="N41" s="12">
        <f t="shared" si="3"/>
        <v>163.63636363636365</v>
      </c>
      <c r="O41" s="14">
        <f t="shared" si="4"/>
        <v>0</v>
      </c>
      <c r="P41" s="15">
        <f t="shared" si="5"/>
        <v>-7.7922077922077619</v>
      </c>
      <c r="Q41" s="399">
        <f t="shared" si="6"/>
        <v>0.9545454545454547</v>
      </c>
      <c r="R41" s="615"/>
      <c r="S41" s="34">
        <v>0.17222222222222222</v>
      </c>
      <c r="T41" s="34">
        <v>0.24861111111111112</v>
      </c>
      <c r="U41" s="400">
        <f t="shared" ref="U41:U47" si="30">(S41-T40)*24*60</f>
        <v>25.999999999999986</v>
      </c>
      <c r="V41" s="411">
        <f t="shared" si="29"/>
        <v>110.00000000000001</v>
      </c>
      <c r="W41" s="400"/>
      <c r="X41" s="400"/>
      <c r="Y41" s="400"/>
      <c r="Z41" s="400"/>
      <c r="AA41" s="617"/>
      <c r="AB41" s="617"/>
      <c r="AC41" s="35"/>
      <c r="AD41" s="18"/>
      <c r="AE41" s="14">
        <f t="shared" si="8"/>
        <v>-109.09090909090901</v>
      </c>
      <c r="AF41" s="399">
        <f t="shared" si="9"/>
        <v>0.95454545454545459</v>
      </c>
      <c r="AG41" s="615"/>
    </row>
    <row r="42" spans="1:33">
      <c r="A42" s="639" t="s">
        <v>1927</v>
      </c>
      <c r="B42" s="29" t="s">
        <v>32</v>
      </c>
      <c r="C42" s="616" t="s">
        <v>38</v>
      </c>
      <c r="D42" s="616"/>
      <c r="E42" s="29">
        <v>25.98</v>
      </c>
      <c r="F42" s="412">
        <v>3498</v>
      </c>
      <c r="G42" s="400">
        <f t="shared" si="27"/>
        <v>90878.040000000008</v>
      </c>
      <c r="H42" s="33" t="s">
        <v>57</v>
      </c>
      <c r="I42" s="410">
        <v>21</v>
      </c>
      <c r="J42" s="31">
        <v>2400</v>
      </c>
      <c r="K42" s="12">
        <f t="shared" si="1"/>
        <v>114.28571428571429</v>
      </c>
      <c r="L42" s="410">
        <v>21</v>
      </c>
      <c r="M42" s="13">
        <f t="shared" si="28"/>
        <v>2306.3736263736264</v>
      </c>
      <c r="N42" s="12">
        <f t="shared" si="3"/>
        <v>109.82731554160125</v>
      </c>
      <c r="O42" s="14">
        <f t="shared" si="4"/>
        <v>0</v>
      </c>
      <c r="P42" s="15">
        <f t="shared" si="5"/>
        <v>-4.4583987441130404</v>
      </c>
      <c r="Q42" s="399">
        <f t="shared" si="6"/>
        <v>0.96098901098901091</v>
      </c>
      <c r="R42" s="615"/>
      <c r="S42" s="34">
        <v>0.25277777777777777</v>
      </c>
      <c r="T42" s="34">
        <v>0.31597222222222221</v>
      </c>
      <c r="U42" s="400">
        <f t="shared" si="30"/>
        <v>5.9999999999999787</v>
      </c>
      <c r="V42" s="411">
        <f t="shared" si="29"/>
        <v>91</v>
      </c>
      <c r="W42" s="400"/>
      <c r="X42" s="400"/>
      <c r="Y42" s="400"/>
      <c r="Z42" s="400"/>
      <c r="AA42" s="617"/>
      <c r="AB42" s="617"/>
      <c r="AC42" s="35"/>
      <c r="AD42" s="18"/>
      <c r="AE42" s="14">
        <f t="shared" si="8"/>
        <v>-93.626373626373606</v>
      </c>
      <c r="AF42" s="399">
        <f t="shared" si="9"/>
        <v>0.96098901098901102</v>
      </c>
      <c r="AG42" s="615"/>
    </row>
    <row r="43" spans="1:33">
      <c r="A43" s="639" t="s">
        <v>1927</v>
      </c>
      <c r="B43" s="29" t="s">
        <v>32</v>
      </c>
      <c r="C43" s="616" t="s">
        <v>39</v>
      </c>
      <c r="D43" s="616"/>
      <c r="E43" s="29">
        <v>34.1</v>
      </c>
      <c r="F43" s="412">
        <v>4000</v>
      </c>
      <c r="G43" s="400">
        <f t="shared" si="27"/>
        <v>136400</v>
      </c>
      <c r="H43" s="33">
        <v>2</v>
      </c>
      <c r="I43" s="410">
        <v>17</v>
      </c>
      <c r="J43" s="31">
        <v>1600</v>
      </c>
      <c r="K43" s="12">
        <f t="shared" si="1"/>
        <v>94.117647058823536</v>
      </c>
      <c r="L43" s="410">
        <v>17</v>
      </c>
      <c r="M43" s="13">
        <f t="shared" si="28"/>
        <v>1528.6624203821657</v>
      </c>
      <c r="N43" s="12">
        <f t="shared" si="3"/>
        <v>89.92131884600974</v>
      </c>
      <c r="O43" s="14">
        <f t="shared" si="4"/>
        <v>0</v>
      </c>
      <c r="P43" s="15">
        <f t="shared" si="5"/>
        <v>-4.1963282128137962</v>
      </c>
      <c r="Q43" s="399">
        <f t="shared" si="6"/>
        <v>0.9554140127388534</v>
      </c>
      <c r="R43" s="615"/>
      <c r="S43" s="34">
        <v>0.3208333333333333</v>
      </c>
      <c r="T43" s="34">
        <v>0.42986111111111108</v>
      </c>
      <c r="U43" s="400">
        <f t="shared" si="30"/>
        <v>6.9999999999999751</v>
      </c>
      <c r="V43" s="411">
        <f t="shared" si="29"/>
        <v>157</v>
      </c>
      <c r="W43" s="16"/>
      <c r="X43" s="16"/>
      <c r="Y43" s="16"/>
      <c r="Z43" s="16"/>
      <c r="AA43" s="617"/>
      <c r="AB43" s="617"/>
      <c r="AC43" s="35"/>
      <c r="AD43" s="18"/>
      <c r="AE43" s="14">
        <f t="shared" si="8"/>
        <v>-71.337579617834308</v>
      </c>
      <c r="AF43" s="399">
        <f t="shared" si="9"/>
        <v>0.95541401273885351</v>
      </c>
      <c r="AG43" s="615"/>
    </row>
    <row r="44" spans="1:33">
      <c r="A44" s="639" t="s">
        <v>1927</v>
      </c>
      <c r="B44" s="29" t="s">
        <v>32</v>
      </c>
      <c r="C44" s="616" t="s">
        <v>84</v>
      </c>
      <c r="D44" s="616"/>
      <c r="E44" s="29">
        <v>20.21</v>
      </c>
      <c r="F44" s="412">
        <v>3968</v>
      </c>
      <c r="G44" s="400">
        <f t="shared" si="27"/>
        <v>80193.279999999999</v>
      </c>
      <c r="H44" s="33" t="s">
        <v>57</v>
      </c>
      <c r="I44" s="410">
        <v>18</v>
      </c>
      <c r="J44" s="31">
        <v>2400</v>
      </c>
      <c r="K44" s="12">
        <f t="shared" si="1"/>
        <v>133.33333333333334</v>
      </c>
      <c r="L44" s="410">
        <v>18</v>
      </c>
      <c r="M44" s="13">
        <f t="shared" si="28"/>
        <v>2289.2307692307686</v>
      </c>
      <c r="N44" s="12">
        <f t="shared" si="3"/>
        <v>127.17948717948714</v>
      </c>
      <c r="O44" s="14">
        <f t="shared" si="4"/>
        <v>0</v>
      </c>
      <c r="P44" s="15">
        <f t="shared" si="5"/>
        <v>-6.153846153846203</v>
      </c>
      <c r="Q44" s="399">
        <f t="shared" si="6"/>
        <v>0.95384615384615346</v>
      </c>
      <c r="R44" s="615"/>
      <c r="S44" s="34">
        <v>0.43333333333333329</v>
      </c>
      <c r="T44" s="34">
        <v>0.50555555555555554</v>
      </c>
      <c r="U44" s="400">
        <f t="shared" si="30"/>
        <v>4.9999999999999822</v>
      </c>
      <c r="V44" s="411">
        <f t="shared" si="29"/>
        <v>104.00000000000003</v>
      </c>
      <c r="W44" s="16">
        <f>T44</f>
        <v>0.50555555555555554</v>
      </c>
      <c r="X44" s="16">
        <f>S45</f>
        <v>0.54652777777777772</v>
      </c>
      <c r="Y44" s="16"/>
      <c r="Z44" s="16"/>
      <c r="AA44" s="617"/>
      <c r="AB44" s="617"/>
      <c r="AC44" s="35"/>
      <c r="AD44" s="18"/>
      <c r="AE44" s="14">
        <f t="shared" si="8"/>
        <v>-110.7692307692314</v>
      </c>
      <c r="AF44" s="399">
        <f t="shared" si="9"/>
        <v>0.95384615384615357</v>
      </c>
      <c r="AG44" s="615"/>
    </row>
    <row r="45" spans="1:33">
      <c r="A45" s="639" t="s">
        <v>1927</v>
      </c>
      <c r="B45" s="29" t="s">
        <v>32</v>
      </c>
      <c r="C45" s="616" t="s">
        <v>77</v>
      </c>
      <c r="D45" s="616"/>
      <c r="E45" s="29">
        <v>26.18</v>
      </c>
      <c r="F45" s="412">
        <v>2829</v>
      </c>
      <c r="G45" s="400">
        <f t="shared" si="27"/>
        <v>74063.22</v>
      </c>
      <c r="H45" s="33" t="s">
        <v>57</v>
      </c>
      <c r="I45" s="410">
        <v>20</v>
      </c>
      <c r="J45" s="31">
        <v>2400</v>
      </c>
      <c r="K45" s="12">
        <f t="shared" si="1"/>
        <v>120</v>
      </c>
      <c r="L45" s="410">
        <v>20</v>
      </c>
      <c r="M45" s="13">
        <f t="shared" si="28"/>
        <v>2293.7837837837819</v>
      </c>
      <c r="N45" s="12">
        <f t="shared" si="3"/>
        <v>114.68918918918909</v>
      </c>
      <c r="O45" s="14">
        <f t="shared" si="4"/>
        <v>0</v>
      </c>
      <c r="P45" s="15">
        <f t="shared" si="5"/>
        <v>-5.3108108108109064</v>
      </c>
      <c r="Q45" s="399">
        <f t="shared" si="6"/>
        <v>0.95574324324324245</v>
      </c>
      <c r="R45" s="615"/>
      <c r="S45" s="34">
        <v>0.54652777777777772</v>
      </c>
      <c r="T45" s="34">
        <v>0.59791666666666665</v>
      </c>
      <c r="U45" s="400">
        <f t="shared" si="30"/>
        <v>58.99999999999995</v>
      </c>
      <c r="V45" s="411">
        <f t="shared" si="29"/>
        <v>74.000000000000057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-106.21621621621807</v>
      </c>
      <c r="AF45" s="399">
        <f t="shared" si="9"/>
        <v>0.95574324324324245</v>
      </c>
      <c r="AG45" s="615"/>
    </row>
    <row r="46" spans="1:33">
      <c r="A46" s="639" t="s">
        <v>1927</v>
      </c>
      <c r="B46" s="29" t="s">
        <v>32</v>
      </c>
      <c r="C46" s="616" t="s">
        <v>37</v>
      </c>
      <c r="D46" s="616"/>
      <c r="E46" s="29">
        <v>24.43</v>
      </c>
      <c r="F46" s="412">
        <v>3430</v>
      </c>
      <c r="G46" s="400">
        <f t="shared" si="27"/>
        <v>83794.899999999994</v>
      </c>
      <c r="H46" s="33" t="s">
        <v>57</v>
      </c>
      <c r="I46" s="410">
        <v>14</v>
      </c>
      <c r="J46" s="31">
        <v>2400</v>
      </c>
      <c r="K46" s="12">
        <f t="shared" si="1"/>
        <v>171.42857142857142</v>
      </c>
      <c r="L46" s="410">
        <v>14</v>
      </c>
      <c r="M46" s="13">
        <f t="shared" si="28"/>
        <v>2286.666666666667</v>
      </c>
      <c r="N46" s="12">
        <f t="shared" si="3"/>
        <v>163.33333333333334</v>
      </c>
      <c r="O46" s="14">
        <f t="shared" si="4"/>
        <v>0</v>
      </c>
      <c r="P46" s="15">
        <f t="shared" si="5"/>
        <v>-8.0952380952380736</v>
      </c>
      <c r="Q46" s="399">
        <f t="shared" si="6"/>
        <v>0.95277777777777795</v>
      </c>
      <c r="R46" s="615"/>
      <c r="S46" s="34">
        <v>0.60277777777777775</v>
      </c>
      <c r="T46" s="34">
        <v>0.66527777777777775</v>
      </c>
      <c r="U46" s="400">
        <f t="shared" si="30"/>
        <v>6.9999999999999751</v>
      </c>
      <c r="V46" s="411">
        <f t="shared" si="29"/>
        <v>90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-113.33333333333303</v>
      </c>
      <c r="AF46" s="399">
        <f t="shared" si="9"/>
        <v>0.95277777777777795</v>
      </c>
      <c r="AG46" s="615"/>
    </row>
    <row r="47" spans="1:33">
      <c r="A47" s="639" t="s">
        <v>1927</v>
      </c>
      <c r="B47" s="29" t="s">
        <v>32</v>
      </c>
      <c r="C47" s="616" t="s">
        <v>39</v>
      </c>
      <c r="D47" s="616"/>
      <c r="E47" s="29">
        <v>34.1</v>
      </c>
      <c r="F47" s="412">
        <v>3108</v>
      </c>
      <c r="G47" s="400">
        <f t="shared" si="27"/>
        <v>105982.8</v>
      </c>
      <c r="H47" s="33" t="s">
        <v>57</v>
      </c>
      <c r="I47" s="410">
        <v>17</v>
      </c>
      <c r="J47" s="31">
        <v>1600</v>
      </c>
      <c r="K47" s="12">
        <f t="shared" si="1"/>
        <v>94.117647058823536</v>
      </c>
      <c r="L47" s="410">
        <v>17</v>
      </c>
      <c r="M47" s="13">
        <f t="shared" si="28"/>
        <v>1528.5245901639339</v>
      </c>
      <c r="N47" s="12">
        <f t="shared" si="3"/>
        <v>89.913211186113756</v>
      </c>
      <c r="O47" s="14">
        <f t="shared" si="4"/>
        <v>0</v>
      </c>
      <c r="P47" s="15">
        <f t="shared" si="5"/>
        <v>-4.2044358727097801</v>
      </c>
      <c r="Q47" s="399">
        <f t="shared" si="6"/>
        <v>0.95532786885245857</v>
      </c>
      <c r="R47" s="615"/>
      <c r="S47" s="34">
        <v>0.66874999999999996</v>
      </c>
      <c r="T47" s="34">
        <v>0.75347222222222221</v>
      </c>
      <c r="U47" s="400">
        <f t="shared" si="30"/>
        <v>4.9999999999999822</v>
      </c>
      <c r="V47" s="411">
        <f t="shared" si="29"/>
        <v>122.00000000000004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-71.475409836066092</v>
      </c>
      <c r="AF47" s="399">
        <f t="shared" si="9"/>
        <v>0.95532786885245868</v>
      </c>
      <c r="AG47" s="615"/>
    </row>
    <row r="48" spans="1:33">
      <c r="A48" s="639" t="s">
        <v>1927</v>
      </c>
      <c r="B48" s="30" t="s">
        <v>1917</v>
      </c>
      <c r="C48" s="618"/>
      <c r="D48" s="618"/>
      <c r="E48" s="402"/>
      <c r="F48" s="30"/>
      <c r="G48" s="12"/>
      <c r="H48" s="412"/>
      <c r="I48" s="23">
        <v>17.625</v>
      </c>
      <c r="J48" s="31">
        <v>2200</v>
      </c>
      <c r="K48" s="12">
        <f t="shared" si="1"/>
        <v>124.822695035461</v>
      </c>
      <c r="L48" s="23">
        <v>17.625</v>
      </c>
      <c r="M48" s="13">
        <f>AVERAGE(M40:M47)</f>
        <v>2102.2835743211072</v>
      </c>
      <c r="N48" s="12">
        <f t="shared" si="3"/>
        <v>119.27850067070112</v>
      </c>
      <c r="O48" s="14">
        <f t="shared" si="4"/>
        <v>0</v>
      </c>
      <c r="P48" s="15">
        <f t="shared" si="5"/>
        <v>-5.5441943647598748</v>
      </c>
      <c r="Q48" s="399">
        <f t="shared" si="6"/>
        <v>0.9555834428732306</v>
      </c>
      <c r="R48" s="615"/>
      <c r="S48" s="34"/>
      <c r="T48" s="34"/>
      <c r="U48" s="12"/>
      <c r="V48" s="411"/>
      <c r="W48" s="12"/>
      <c r="X48" s="12"/>
      <c r="Y48" s="24">
        <f>SUM(Y40:Y47)</f>
        <v>0</v>
      </c>
      <c r="Z48" s="24">
        <f>SUM(Z40:Z47)</f>
        <v>0</v>
      </c>
      <c r="AA48" s="614"/>
      <c r="AB48" s="614"/>
      <c r="AC48" s="24">
        <v>8</v>
      </c>
      <c r="AD48" s="24">
        <f>SUM(AD40:AD47)</f>
        <v>0</v>
      </c>
      <c r="AE48" s="14">
        <f t="shared" si="8"/>
        <v>-97.716425678892847</v>
      </c>
      <c r="AF48" s="399">
        <f t="shared" si="9"/>
        <v>0.95558344287323049</v>
      </c>
      <c r="AG48" s="615"/>
    </row>
    <row r="49" spans="1:33" ht="15.75" customHeight="1">
      <c r="A49" s="632" t="s">
        <v>1928</v>
      </c>
      <c r="B49" s="29" t="s">
        <v>40</v>
      </c>
      <c r="C49" s="622" t="s">
        <v>41</v>
      </c>
      <c r="D49" s="623"/>
      <c r="E49" s="29">
        <v>37.880000000000003</v>
      </c>
      <c r="F49" s="412">
        <v>543</v>
      </c>
      <c r="G49" s="400">
        <f t="shared" ref="G49:G52" si="31">E49*F49</f>
        <v>20568.84</v>
      </c>
      <c r="H49" s="33" t="s">
        <v>57</v>
      </c>
      <c r="I49" s="410">
        <v>13</v>
      </c>
      <c r="J49" s="31">
        <v>2000</v>
      </c>
      <c r="K49" s="12">
        <f t="shared" si="1"/>
        <v>153.84615384615384</v>
      </c>
      <c r="L49" s="410">
        <v>13</v>
      </c>
      <c r="M49" s="13">
        <f t="shared" ref="M49:M52" si="32">F49/V49*60</f>
        <v>1916.4705882352941</v>
      </c>
      <c r="N49" s="13">
        <f t="shared" si="3"/>
        <v>147.42081447963801</v>
      </c>
      <c r="O49" s="14">
        <f t="shared" si="4"/>
        <v>0</v>
      </c>
      <c r="P49" s="15">
        <f t="shared" si="5"/>
        <v>-6.4253393665158285</v>
      </c>
      <c r="Q49" s="399">
        <f t="shared" si="6"/>
        <v>0.95823529411764707</v>
      </c>
      <c r="R49" s="635">
        <f>Q53</f>
        <v>0.95568304562212936</v>
      </c>
      <c r="S49" s="34">
        <v>8.3333333333333329E-2</v>
      </c>
      <c r="T49" s="34">
        <v>9.5138888888888884E-2</v>
      </c>
      <c r="U49" s="21"/>
      <c r="V49" s="411">
        <f t="shared" ref="V49:V52" si="33">(T49-S49)*24*60</f>
        <v>17</v>
      </c>
      <c r="W49" s="16">
        <f>T49</f>
        <v>9.5138888888888884E-2</v>
      </c>
      <c r="X49" s="16">
        <f>S50</f>
        <v>0.11458333333333333</v>
      </c>
      <c r="Y49" s="19"/>
      <c r="Z49" s="19"/>
      <c r="AA49" s="624"/>
      <c r="AB49" s="625"/>
      <c r="AC49" s="35">
        <v>4</v>
      </c>
      <c r="AD49" s="18"/>
      <c r="AE49" s="14">
        <f t="shared" si="8"/>
        <v>-83.529411764705856</v>
      </c>
      <c r="AF49" s="399">
        <f t="shared" si="9"/>
        <v>0.95823529411764707</v>
      </c>
      <c r="AG49" s="635">
        <f>AF53</f>
        <v>0.95568304562212936</v>
      </c>
    </row>
    <row r="50" spans="1:33" ht="15.75" customHeight="1">
      <c r="A50" s="633" t="s">
        <v>1928</v>
      </c>
      <c r="B50" s="29" t="s">
        <v>40</v>
      </c>
      <c r="C50" s="622" t="s">
        <v>42</v>
      </c>
      <c r="D50" s="623"/>
      <c r="E50" s="29">
        <v>35.119999999999997</v>
      </c>
      <c r="F50" s="412">
        <v>6027</v>
      </c>
      <c r="G50" s="400">
        <f t="shared" si="31"/>
        <v>211668.24</v>
      </c>
      <c r="H50" s="33" t="s">
        <v>57</v>
      </c>
      <c r="I50" s="410">
        <v>10</v>
      </c>
      <c r="J50" s="31">
        <v>3000</v>
      </c>
      <c r="K50" s="12">
        <f t="shared" si="1"/>
        <v>300</v>
      </c>
      <c r="L50" s="410">
        <v>10</v>
      </c>
      <c r="M50" s="13">
        <f t="shared" si="32"/>
        <v>2870</v>
      </c>
      <c r="N50" s="13">
        <f t="shared" si="3"/>
        <v>287</v>
      </c>
      <c r="O50" s="14">
        <f t="shared" si="4"/>
        <v>0</v>
      </c>
      <c r="P50" s="15">
        <f t="shared" si="5"/>
        <v>-13</v>
      </c>
      <c r="Q50" s="399">
        <f t="shared" si="6"/>
        <v>0.95666666666666667</v>
      </c>
      <c r="R50" s="636"/>
      <c r="S50" s="34">
        <v>0.11458333333333333</v>
      </c>
      <c r="T50" s="34">
        <v>0.20208333333333334</v>
      </c>
      <c r="U50" s="400">
        <f t="shared" ref="U50:U52" si="34">(S50-T49)*24*60</f>
        <v>28</v>
      </c>
      <c r="V50" s="411">
        <f t="shared" si="33"/>
        <v>126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-130</v>
      </c>
      <c r="AF50" s="399">
        <f t="shared" si="9"/>
        <v>0.95666666666666667</v>
      </c>
      <c r="AG50" s="636"/>
    </row>
    <row r="51" spans="1:33" ht="15.75" customHeight="1">
      <c r="A51" s="633" t="s">
        <v>1928</v>
      </c>
      <c r="B51" s="29" t="s">
        <v>40</v>
      </c>
      <c r="C51" s="622" t="s">
        <v>43</v>
      </c>
      <c r="D51" s="623"/>
      <c r="E51" s="29">
        <v>21.13</v>
      </c>
      <c r="F51" s="412">
        <v>5493</v>
      </c>
      <c r="G51" s="400">
        <f t="shared" si="31"/>
        <v>116067.09</v>
      </c>
      <c r="H51" s="33" t="s">
        <v>57</v>
      </c>
      <c r="I51" s="410">
        <v>10</v>
      </c>
      <c r="J51" s="31">
        <v>3000</v>
      </c>
      <c r="K51" s="12">
        <f t="shared" si="1"/>
        <v>300</v>
      </c>
      <c r="L51" s="410">
        <v>10</v>
      </c>
      <c r="M51" s="13">
        <f t="shared" si="32"/>
        <v>2865.9130434782601</v>
      </c>
      <c r="N51" s="13">
        <f t="shared" si="3"/>
        <v>286.591304347826</v>
      </c>
      <c r="O51" s="14">
        <f t="shared" si="4"/>
        <v>0</v>
      </c>
      <c r="P51" s="15">
        <f t="shared" si="5"/>
        <v>-13.408695652174003</v>
      </c>
      <c r="Q51" s="399">
        <f t="shared" si="6"/>
        <v>0.95530434782608664</v>
      </c>
      <c r="R51" s="636"/>
      <c r="S51" s="34">
        <v>0.2076388888888889</v>
      </c>
      <c r="T51" s="34">
        <v>0.28750000000000003</v>
      </c>
      <c r="U51" s="400">
        <f t="shared" si="34"/>
        <v>8.0000000000000107</v>
      </c>
      <c r="V51" s="411">
        <f t="shared" si="33"/>
        <v>115.00000000000003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-134.08695652173992</v>
      </c>
      <c r="AF51" s="399">
        <f t="shared" si="9"/>
        <v>0.95530434782608664</v>
      </c>
      <c r="AG51" s="636"/>
    </row>
    <row r="52" spans="1:33" ht="15.75" customHeight="1">
      <c r="A52" s="633" t="s">
        <v>1928</v>
      </c>
      <c r="B52" s="29" t="s">
        <v>40</v>
      </c>
      <c r="C52" s="622" t="s">
        <v>44</v>
      </c>
      <c r="D52" s="623"/>
      <c r="E52" s="29">
        <v>27.17</v>
      </c>
      <c r="F52" s="412">
        <v>7341</v>
      </c>
      <c r="G52" s="400">
        <f t="shared" si="31"/>
        <v>199454.97</v>
      </c>
      <c r="H52" s="33" t="s">
        <v>57</v>
      </c>
      <c r="I52" s="410">
        <v>10</v>
      </c>
      <c r="J52" s="31">
        <v>3000</v>
      </c>
      <c r="K52" s="12">
        <f t="shared" si="1"/>
        <v>300</v>
      </c>
      <c r="L52" s="410">
        <v>10</v>
      </c>
      <c r="M52" s="13">
        <f t="shared" si="32"/>
        <v>2860.1298701298701</v>
      </c>
      <c r="N52" s="13">
        <f t="shared" si="3"/>
        <v>286.01298701298703</v>
      </c>
      <c r="O52" s="14">
        <f t="shared" si="4"/>
        <v>0</v>
      </c>
      <c r="P52" s="15">
        <f t="shared" si="5"/>
        <v>-13.987012987012974</v>
      </c>
      <c r="Q52" s="399">
        <f t="shared" si="6"/>
        <v>0.95337662337662343</v>
      </c>
      <c r="R52" s="636"/>
      <c r="S52" s="34">
        <v>0.29236111111111113</v>
      </c>
      <c r="T52" s="34">
        <v>0.39930555555555558</v>
      </c>
      <c r="U52" s="400">
        <f t="shared" si="34"/>
        <v>6.9999999999999751</v>
      </c>
      <c r="V52" s="411">
        <f t="shared" si="33"/>
        <v>154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-139.87012987012986</v>
      </c>
      <c r="AF52" s="399">
        <f t="shared" si="9"/>
        <v>0.95337662337662343</v>
      </c>
      <c r="AG52" s="636"/>
    </row>
    <row r="53" spans="1:33" ht="15.75" customHeight="1">
      <c r="A53" s="634" t="s">
        <v>1928</v>
      </c>
      <c r="B53" s="29" t="s">
        <v>1917</v>
      </c>
      <c r="C53" s="612"/>
      <c r="D53" s="613"/>
      <c r="E53" s="401"/>
      <c r="F53" s="412"/>
      <c r="G53" s="400"/>
      <c r="H53" s="412"/>
      <c r="I53" s="23">
        <v>10.75</v>
      </c>
      <c r="J53" s="31">
        <v>2750</v>
      </c>
      <c r="K53" s="12">
        <f t="shared" si="1"/>
        <v>255.81395348837211</v>
      </c>
      <c r="L53" s="23">
        <v>10.75</v>
      </c>
      <c r="M53" s="13">
        <f>AVERAGE(M49:M52)</f>
        <v>2628.1283754608558</v>
      </c>
      <c r="N53" s="12">
        <f t="shared" si="3"/>
        <v>244.47705818240519</v>
      </c>
      <c r="O53" s="14">
        <f t="shared" si="4"/>
        <v>0</v>
      </c>
      <c r="P53" s="15">
        <f t="shared" si="5"/>
        <v>-11.33689530596692</v>
      </c>
      <c r="Q53" s="399">
        <f t="shared" si="6"/>
        <v>0.95568304562212936</v>
      </c>
      <c r="R53" s="637"/>
      <c r="S53" s="34"/>
      <c r="T53" s="34"/>
      <c r="U53" s="400"/>
      <c r="V53" s="411"/>
      <c r="W53" s="16"/>
      <c r="X53" s="16"/>
      <c r="Y53" s="24">
        <f>SUM(Y49:Y52)</f>
        <v>0</v>
      </c>
      <c r="Z53" s="24">
        <f>SUM(Z49:Z52)</f>
        <v>0</v>
      </c>
      <c r="AA53" s="628"/>
      <c r="AB53" s="629"/>
      <c r="AC53" s="24">
        <v>4</v>
      </c>
      <c r="AD53" s="24">
        <f>SUM(AD49:AD52)</f>
        <v>0</v>
      </c>
      <c r="AE53" s="14">
        <f t="shared" si="8"/>
        <v>-121.87162453914425</v>
      </c>
      <c r="AF53" s="399">
        <f t="shared" si="9"/>
        <v>0.95568304562212936</v>
      </c>
      <c r="AG53" s="637"/>
    </row>
    <row r="54" spans="1:33" ht="15.75" customHeight="1">
      <c r="A54" s="630" t="s">
        <v>1929</v>
      </c>
      <c r="B54" s="29" t="s">
        <v>15</v>
      </c>
      <c r="C54" s="616" t="s">
        <v>46</v>
      </c>
      <c r="D54" s="616"/>
      <c r="E54" s="29">
        <v>56.43</v>
      </c>
      <c r="F54" s="32">
        <v>1585</v>
      </c>
      <c r="G54" s="400">
        <f t="shared" ref="G54:G60" si="35">E54*F54</f>
        <v>89441.55</v>
      </c>
      <c r="H54" s="33" t="s">
        <v>57</v>
      </c>
      <c r="I54" s="410">
        <v>22</v>
      </c>
      <c r="J54" s="31">
        <v>2000</v>
      </c>
      <c r="K54" s="12">
        <f t="shared" si="1"/>
        <v>90.909090909090907</v>
      </c>
      <c r="L54" s="410">
        <v>22</v>
      </c>
      <c r="M54" s="13">
        <f t="shared" ref="M54" si="36">F54/V54*60</f>
        <v>1940.8163265306125</v>
      </c>
      <c r="N54" s="13">
        <f t="shared" si="3"/>
        <v>88.218923933209666</v>
      </c>
      <c r="O54" s="14">
        <f t="shared" si="4"/>
        <v>0</v>
      </c>
      <c r="P54" s="15">
        <f t="shared" si="5"/>
        <v>-2.6901669758812403</v>
      </c>
      <c r="Q54" s="399">
        <f t="shared" si="6"/>
        <v>0.97040816326530632</v>
      </c>
      <c r="R54" s="615">
        <f>Q61</f>
        <v>0.95932137868582301</v>
      </c>
      <c r="S54" s="34">
        <v>0.16666666666666666</v>
      </c>
      <c r="T54" s="34">
        <v>0.20069444444444443</v>
      </c>
      <c r="U54" s="21"/>
      <c r="V54" s="411">
        <f t="shared" ref="V54:V60" si="37">(T54-S54)*24*60</f>
        <v>48.999999999999986</v>
      </c>
      <c r="W54" s="16">
        <f>T54</f>
        <v>0.20069444444444443</v>
      </c>
      <c r="X54" s="16">
        <f>S55</f>
        <v>0.22013888888888886</v>
      </c>
      <c r="Y54" s="21"/>
      <c r="Z54" s="21"/>
      <c r="AA54" s="617"/>
      <c r="AB54" s="617"/>
      <c r="AC54" s="35">
        <v>7</v>
      </c>
      <c r="AD54" s="18"/>
      <c r="AE54" s="14">
        <f t="shared" si="8"/>
        <v>-59.183673469387486</v>
      </c>
      <c r="AF54" s="399">
        <f t="shared" si="9"/>
        <v>0.97040816326530621</v>
      </c>
      <c r="AG54" s="615">
        <f>AF61</f>
        <v>0.95932137868582301</v>
      </c>
    </row>
    <row r="55" spans="1:33" ht="15.75" customHeight="1">
      <c r="A55" s="630" t="s">
        <v>1929</v>
      </c>
      <c r="B55" s="29" t="s">
        <v>19</v>
      </c>
      <c r="C55" s="616" t="s">
        <v>81</v>
      </c>
      <c r="D55" s="616"/>
      <c r="E55" s="29">
        <v>46</v>
      </c>
      <c r="F55" s="32">
        <v>3580</v>
      </c>
      <c r="G55" s="400">
        <f t="shared" si="35"/>
        <v>164680</v>
      </c>
      <c r="H55" s="33" t="s">
        <v>57</v>
      </c>
      <c r="I55" s="410">
        <v>16</v>
      </c>
      <c r="J55" s="31">
        <v>2000</v>
      </c>
      <c r="K55" s="12">
        <f t="shared" si="1"/>
        <v>125</v>
      </c>
      <c r="L55" s="410">
        <v>16</v>
      </c>
      <c r="M55" s="13">
        <f>F55/V55*60</f>
        <v>1917.8571428571436</v>
      </c>
      <c r="N55" s="13">
        <f t="shared" si="3"/>
        <v>119.86607142857147</v>
      </c>
      <c r="O55" s="14">
        <f t="shared" si="4"/>
        <v>0</v>
      </c>
      <c r="P55" s="15">
        <f t="shared" si="5"/>
        <v>-5.1339285714285268</v>
      </c>
      <c r="Q55" s="399">
        <f t="shared" si="6"/>
        <v>0.9589285714285718</v>
      </c>
      <c r="R55" s="615"/>
      <c r="S55" s="34">
        <v>0.22013888888888886</v>
      </c>
      <c r="T55" s="34">
        <v>0.29791666666666661</v>
      </c>
      <c r="U55" s="400">
        <f t="shared" ref="U55:U60" si="38">IF(S55=TIME(17,0,0),"",(S55-T54)*24*60)</f>
        <v>27.999999999999979</v>
      </c>
      <c r="V55" s="411">
        <f t="shared" si="37"/>
        <v>111.99999999999996</v>
      </c>
      <c r="W55" s="16"/>
      <c r="X55" s="16"/>
      <c r="Y55" s="16"/>
      <c r="Z55" s="16"/>
      <c r="AA55" s="617"/>
      <c r="AB55" s="617"/>
      <c r="AC55" s="35"/>
      <c r="AD55" s="18"/>
      <c r="AE55" s="14">
        <f t="shared" si="8"/>
        <v>-82.142857142856428</v>
      </c>
      <c r="AF55" s="399">
        <f t="shared" si="9"/>
        <v>0.9589285714285718</v>
      </c>
      <c r="AG55" s="615"/>
    </row>
    <row r="56" spans="1:33" ht="15.75" customHeight="1">
      <c r="A56" s="630" t="s">
        <v>1929</v>
      </c>
      <c r="B56" s="29" t="s">
        <v>19</v>
      </c>
      <c r="C56" s="622" t="s">
        <v>945</v>
      </c>
      <c r="D56" s="623"/>
      <c r="E56" s="29">
        <v>46</v>
      </c>
      <c r="F56" s="32">
        <v>4601</v>
      </c>
      <c r="G56" s="400">
        <f t="shared" si="35"/>
        <v>211646</v>
      </c>
      <c r="H56" s="33" t="s">
        <v>57</v>
      </c>
      <c r="I56" s="410">
        <v>17</v>
      </c>
      <c r="J56" s="31">
        <v>2000</v>
      </c>
      <c r="K56" s="12">
        <f t="shared" si="1"/>
        <v>117.64705882352941</v>
      </c>
      <c r="L56" s="410">
        <v>17</v>
      </c>
      <c r="M56" s="13">
        <f t="shared" ref="M56:M60" si="39">F56/V56*60</f>
        <v>1917.0833333333337</v>
      </c>
      <c r="N56" s="13">
        <f t="shared" si="3"/>
        <v>112.76960784313728</v>
      </c>
      <c r="O56" s="14">
        <f t="shared" si="4"/>
        <v>0</v>
      </c>
      <c r="P56" s="15">
        <f t="shared" si="5"/>
        <v>-4.8774509803921262</v>
      </c>
      <c r="Q56" s="399">
        <f t="shared" si="6"/>
        <v>0.95854166666666696</v>
      </c>
      <c r="R56" s="615"/>
      <c r="S56" s="34">
        <v>0.30347222222222214</v>
      </c>
      <c r="T56" s="34">
        <v>0.40347222222222212</v>
      </c>
      <c r="U56" s="400">
        <f t="shared" si="38"/>
        <v>7.9999999999999716</v>
      </c>
      <c r="V56" s="411">
        <f t="shared" si="37"/>
        <v>143.99999999999997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-82.916666666666288</v>
      </c>
      <c r="AF56" s="399">
        <f t="shared" si="9"/>
        <v>0.95854166666666685</v>
      </c>
      <c r="AG56" s="615"/>
    </row>
    <row r="57" spans="1:33" ht="15.75" customHeight="1">
      <c r="A57" s="630" t="s">
        <v>1929</v>
      </c>
      <c r="B57" s="29" t="s">
        <v>15</v>
      </c>
      <c r="C57" s="404" t="s">
        <v>27</v>
      </c>
      <c r="D57" s="405"/>
      <c r="E57" s="29">
        <v>59.04</v>
      </c>
      <c r="F57" s="32">
        <v>2776</v>
      </c>
      <c r="G57" s="400">
        <f t="shared" si="35"/>
        <v>163895.04000000001</v>
      </c>
      <c r="H57" s="33" t="s">
        <v>57</v>
      </c>
      <c r="I57" s="410">
        <v>19</v>
      </c>
      <c r="J57" s="31">
        <v>2000</v>
      </c>
      <c r="K57" s="12">
        <f t="shared" si="1"/>
        <v>105.26315789473684</v>
      </c>
      <c r="L57" s="410">
        <v>19</v>
      </c>
      <c r="M57" s="13">
        <f t="shared" si="39"/>
        <v>1914.4827586206893</v>
      </c>
      <c r="N57" s="13">
        <f t="shared" si="3"/>
        <v>100.76225045372048</v>
      </c>
      <c r="O57" s="14">
        <f t="shared" si="4"/>
        <v>0</v>
      </c>
      <c r="P57" s="15">
        <f t="shared" si="5"/>
        <v>-4.5009074410163521</v>
      </c>
      <c r="Q57" s="399">
        <f t="shared" si="6"/>
        <v>0.9572413793103447</v>
      </c>
      <c r="R57" s="615"/>
      <c r="S57" s="34">
        <v>0.40902777777777766</v>
      </c>
      <c r="T57" s="34">
        <v>0.46944444444444433</v>
      </c>
      <c r="U57" s="400">
        <f t="shared" si="38"/>
        <v>7.9999999999999716</v>
      </c>
      <c r="V57" s="411">
        <f t="shared" si="37"/>
        <v>87.000000000000014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-85.51724137931069</v>
      </c>
      <c r="AF57" s="399">
        <f t="shared" si="9"/>
        <v>0.9572413793103447</v>
      </c>
      <c r="AG57" s="615"/>
    </row>
    <row r="58" spans="1:33" ht="15.75" customHeight="1">
      <c r="A58" s="630" t="s">
        <v>1929</v>
      </c>
      <c r="B58" s="29" t="s">
        <v>15</v>
      </c>
      <c r="C58" s="404" t="s">
        <v>48</v>
      </c>
      <c r="D58" s="405"/>
      <c r="E58" s="29">
        <v>55.56</v>
      </c>
      <c r="F58" s="32">
        <v>2443</v>
      </c>
      <c r="G58" s="400">
        <f t="shared" si="35"/>
        <v>135733.08000000002</v>
      </c>
      <c r="H58" s="33" t="s">
        <v>57</v>
      </c>
      <c r="I58" s="410">
        <v>17</v>
      </c>
      <c r="J58" s="31">
        <v>2000</v>
      </c>
      <c r="K58" s="12">
        <f t="shared" si="1"/>
        <v>117.64705882352941</v>
      </c>
      <c r="L58" s="410">
        <v>17</v>
      </c>
      <c r="M58" s="13">
        <f t="shared" si="39"/>
        <v>1903.6363636363626</v>
      </c>
      <c r="N58" s="13">
        <f t="shared" si="3"/>
        <v>111.97860962566838</v>
      </c>
      <c r="O58" s="14">
        <f t="shared" si="4"/>
        <v>0</v>
      </c>
      <c r="P58" s="15">
        <f t="shared" si="5"/>
        <v>-5.6684491978610225</v>
      </c>
      <c r="Q58" s="399">
        <f t="shared" si="6"/>
        <v>0.95181818181818134</v>
      </c>
      <c r="R58" s="615"/>
      <c r="S58" s="34">
        <v>0.70833333333333337</v>
      </c>
      <c r="T58" s="34">
        <v>0.76180555555555562</v>
      </c>
      <c r="U58" s="400" t="str">
        <f t="shared" si="38"/>
        <v/>
      </c>
      <c r="V58" s="411">
        <f t="shared" si="37"/>
        <v>77.000000000000043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-96.363636363637397</v>
      </c>
      <c r="AF58" s="399">
        <f t="shared" si="9"/>
        <v>0.95181818181818134</v>
      </c>
      <c r="AG58" s="615"/>
    </row>
    <row r="59" spans="1:33" ht="15.75" customHeight="1">
      <c r="A59" s="630" t="s">
        <v>1929</v>
      </c>
      <c r="B59" s="29" t="s">
        <v>15</v>
      </c>
      <c r="C59" s="622" t="s">
        <v>841</v>
      </c>
      <c r="D59" s="623"/>
      <c r="E59" s="29">
        <v>54.09</v>
      </c>
      <c r="F59" s="32">
        <v>2113</v>
      </c>
      <c r="G59" s="400">
        <f t="shared" si="35"/>
        <v>114292.17000000001</v>
      </c>
      <c r="H59" s="33" t="s">
        <v>57</v>
      </c>
      <c r="I59" s="410">
        <v>13</v>
      </c>
      <c r="J59" s="31">
        <v>2000</v>
      </c>
      <c r="K59" s="12">
        <f t="shared" si="1"/>
        <v>153.84615384615384</v>
      </c>
      <c r="L59" s="410">
        <v>13</v>
      </c>
      <c r="M59" s="13">
        <f t="shared" si="39"/>
        <v>1920.909090909093</v>
      </c>
      <c r="N59" s="13">
        <f t="shared" si="3"/>
        <v>147.76223776223793</v>
      </c>
      <c r="O59" s="14">
        <f t="shared" si="4"/>
        <v>0</v>
      </c>
      <c r="P59" s="15">
        <f t="shared" si="5"/>
        <v>-6.0839160839159092</v>
      </c>
      <c r="Q59" s="399">
        <f t="shared" si="6"/>
        <v>0.96045454545454656</v>
      </c>
      <c r="R59" s="615"/>
      <c r="S59" s="34">
        <v>0.76666666666666672</v>
      </c>
      <c r="T59" s="34">
        <v>0.8125</v>
      </c>
      <c r="U59" s="400">
        <f t="shared" si="38"/>
        <v>6.9999999999999751</v>
      </c>
      <c r="V59" s="411">
        <f t="shared" si="37"/>
        <v>65.999999999999929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-79.090909090906962</v>
      </c>
      <c r="AF59" s="399">
        <f t="shared" si="9"/>
        <v>0.96045454545454656</v>
      </c>
      <c r="AG59" s="615"/>
    </row>
    <row r="60" spans="1:33" ht="15.75" customHeight="1">
      <c r="A60" s="630" t="s">
        <v>1929</v>
      </c>
      <c r="B60" s="29" t="s">
        <v>15</v>
      </c>
      <c r="C60" s="622" t="s">
        <v>85</v>
      </c>
      <c r="D60" s="623"/>
      <c r="E60" s="29">
        <v>56.43</v>
      </c>
      <c r="F60" s="32">
        <v>1788</v>
      </c>
      <c r="G60" s="400">
        <f t="shared" si="35"/>
        <v>100896.84</v>
      </c>
      <c r="H60" s="33" t="s">
        <v>57</v>
      </c>
      <c r="I60" s="410">
        <v>13</v>
      </c>
      <c r="J60" s="31">
        <v>2000</v>
      </c>
      <c r="K60" s="12">
        <f t="shared" si="1"/>
        <v>153.84615384615384</v>
      </c>
      <c r="L60" s="410">
        <v>13</v>
      </c>
      <c r="M60" s="13">
        <f t="shared" si="39"/>
        <v>1915.7142857142871</v>
      </c>
      <c r="N60" s="13">
        <f t="shared" si="3"/>
        <v>147.36263736263749</v>
      </c>
      <c r="O60" s="14">
        <f t="shared" si="4"/>
        <v>0</v>
      </c>
      <c r="P60" s="15">
        <f t="shared" si="5"/>
        <v>-6.4835164835163539</v>
      </c>
      <c r="Q60" s="399">
        <f t="shared" si="6"/>
        <v>0.95785714285714374</v>
      </c>
      <c r="R60" s="615"/>
      <c r="S60" s="34">
        <v>0.81736111111111109</v>
      </c>
      <c r="T60" s="34">
        <v>0.85624999999999996</v>
      </c>
      <c r="U60" s="400">
        <f t="shared" si="38"/>
        <v>6.9999999999999751</v>
      </c>
      <c r="V60" s="411">
        <f t="shared" si="37"/>
        <v>55.999999999999957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-84.285714285712857</v>
      </c>
      <c r="AF60" s="399">
        <f t="shared" si="9"/>
        <v>0.95785714285714352</v>
      </c>
      <c r="AG60" s="615"/>
    </row>
    <row r="61" spans="1:33">
      <c r="A61" s="631" t="s">
        <v>1929</v>
      </c>
      <c r="B61" s="29" t="s">
        <v>1917</v>
      </c>
      <c r="C61" s="618"/>
      <c r="D61" s="618"/>
      <c r="E61" s="402"/>
      <c r="F61" s="30"/>
      <c r="G61" s="12"/>
      <c r="H61" s="412"/>
      <c r="I61" s="23">
        <v>16.714285714285715</v>
      </c>
      <c r="J61" s="31">
        <v>2000</v>
      </c>
      <c r="K61" s="12">
        <f t="shared" si="1"/>
        <v>119.65811965811965</v>
      </c>
      <c r="L61" s="23">
        <v>16.714285714285715</v>
      </c>
      <c r="M61" s="13">
        <f>AVERAGE(M54:M60)</f>
        <v>1918.642757371646</v>
      </c>
      <c r="N61" s="12">
        <f t="shared" si="3"/>
        <v>114.79059232138052</v>
      </c>
      <c r="O61" s="14">
        <f t="shared" si="4"/>
        <v>0</v>
      </c>
      <c r="P61" s="15">
        <f t="shared" si="5"/>
        <v>-4.8675273367391299</v>
      </c>
      <c r="Q61" s="399">
        <f t="shared" si="6"/>
        <v>0.95932137868582301</v>
      </c>
      <c r="R61" s="615"/>
      <c r="S61" s="34"/>
      <c r="T61" s="34"/>
      <c r="U61" s="400"/>
      <c r="V61" s="411"/>
      <c r="W61" s="12"/>
      <c r="X61" s="12"/>
      <c r="Y61" s="24">
        <f>SUM(Y54:Y60)</f>
        <v>0</v>
      </c>
      <c r="Z61" s="24">
        <f>SUM(Z54:Z60)</f>
        <v>0</v>
      </c>
      <c r="AA61" s="614"/>
      <c r="AB61" s="614"/>
      <c r="AC61" s="24">
        <v>7</v>
      </c>
      <c r="AD61" s="24">
        <f>SUM(AD54:AD60)</f>
        <v>0</v>
      </c>
      <c r="AE61" s="14">
        <f>M61-J61</f>
        <v>-81.357242628354015</v>
      </c>
      <c r="AF61" s="399">
        <f t="shared" si="9"/>
        <v>0.95932137868582301</v>
      </c>
      <c r="AG61" s="615"/>
    </row>
    <row r="62" spans="1:33" ht="15.75" customHeight="1">
      <c r="A62" s="626" t="s">
        <v>1930</v>
      </c>
      <c r="B62" s="412" t="s">
        <v>40</v>
      </c>
      <c r="C62" s="616" t="s">
        <v>49</v>
      </c>
      <c r="D62" s="616"/>
      <c r="E62" s="29">
        <v>34.36</v>
      </c>
      <c r="F62" s="32">
        <v>2287</v>
      </c>
      <c r="G62" s="400">
        <f t="shared" ref="G62:G65" si="40">E62*F62</f>
        <v>78581.319999999992</v>
      </c>
      <c r="H62" s="33" t="s">
        <v>57</v>
      </c>
      <c r="I62" s="410">
        <v>10</v>
      </c>
      <c r="J62" s="31">
        <v>3000</v>
      </c>
      <c r="K62" s="12">
        <f t="shared" si="1"/>
        <v>300</v>
      </c>
      <c r="L62" s="410">
        <v>10</v>
      </c>
      <c r="M62" s="13">
        <f t="shared" ref="M62:M65" si="41">F62/V62*60</f>
        <v>2858.7500000000009</v>
      </c>
      <c r="N62" s="12">
        <f t="shared" si="3"/>
        <v>285.87500000000011</v>
      </c>
      <c r="O62" s="14">
        <f t="shared" si="4"/>
        <v>0</v>
      </c>
      <c r="P62" s="15">
        <f t="shared" si="5"/>
        <v>-14.124999999999886</v>
      </c>
      <c r="Q62" s="399">
        <f t="shared" si="6"/>
        <v>0.95291666666666708</v>
      </c>
      <c r="R62" s="615">
        <f>Q66</f>
        <v>0.95466999738767</v>
      </c>
      <c r="S62" s="34">
        <v>0.20833333333333334</v>
      </c>
      <c r="T62" s="34">
        <v>0.24166666666666667</v>
      </c>
      <c r="U62" s="400"/>
      <c r="V62" s="411">
        <f t="shared" ref="V62:V65" si="42">(T62-S62)*24*60</f>
        <v>47.999999999999986</v>
      </c>
      <c r="W62" s="16"/>
      <c r="X62" s="16"/>
      <c r="Y62" s="21"/>
      <c r="Z62" s="21"/>
      <c r="AA62" s="617"/>
      <c r="AB62" s="617"/>
      <c r="AC62" s="35">
        <v>4</v>
      </c>
      <c r="AD62" s="18"/>
      <c r="AE62" s="14">
        <f t="shared" ref="AE62:AE74" si="43">M62-J62</f>
        <v>-141.24999999999909</v>
      </c>
      <c r="AF62" s="399">
        <f t="shared" si="9"/>
        <v>0.95291666666666697</v>
      </c>
      <c r="AG62" s="615">
        <f>AF66</f>
        <v>0.95466999738767</v>
      </c>
    </row>
    <row r="63" spans="1:33" ht="15.75" customHeight="1">
      <c r="A63" s="626" t="s">
        <v>1930</v>
      </c>
      <c r="B63" s="412" t="s">
        <v>40</v>
      </c>
      <c r="C63" s="616" t="s">
        <v>51</v>
      </c>
      <c r="D63" s="616"/>
      <c r="E63" s="29">
        <v>26.78</v>
      </c>
      <c r="F63" s="32">
        <v>2621</v>
      </c>
      <c r="G63" s="400">
        <f t="shared" si="40"/>
        <v>70190.38</v>
      </c>
      <c r="H63" s="33" t="s">
        <v>57</v>
      </c>
      <c r="I63" s="410">
        <v>10</v>
      </c>
      <c r="J63" s="31">
        <v>3000</v>
      </c>
      <c r="K63" s="12">
        <f t="shared" si="1"/>
        <v>300</v>
      </c>
      <c r="L63" s="410">
        <v>10</v>
      </c>
      <c r="M63" s="13">
        <f t="shared" si="41"/>
        <v>2859.2727272727288</v>
      </c>
      <c r="N63" s="12">
        <f t="shared" si="3"/>
        <v>285.92727272727291</v>
      </c>
      <c r="O63" s="14">
        <f t="shared" si="4"/>
        <v>0</v>
      </c>
      <c r="P63" s="15">
        <f t="shared" si="5"/>
        <v>-14.072727272727093</v>
      </c>
      <c r="Q63" s="399">
        <f t="shared" si="6"/>
        <v>0.95309090909090965</v>
      </c>
      <c r="R63" s="615"/>
      <c r="S63" s="34">
        <v>0.24652777777777779</v>
      </c>
      <c r="T63" s="34">
        <v>0.28472222222222221</v>
      </c>
      <c r="U63" s="400">
        <f t="shared" ref="U63:U65" si="44">(S63-T62)*24*60</f>
        <v>7.0000000000000151</v>
      </c>
      <c r="V63" s="411">
        <f t="shared" si="42"/>
        <v>54.999999999999964</v>
      </c>
      <c r="W63" s="400"/>
      <c r="X63" s="400"/>
      <c r="Y63" s="400"/>
      <c r="Z63" s="400"/>
      <c r="AA63" s="617"/>
      <c r="AB63" s="617"/>
      <c r="AC63" s="35"/>
      <c r="AD63" s="18"/>
      <c r="AE63" s="14">
        <f t="shared" si="43"/>
        <v>-140.72727272727116</v>
      </c>
      <c r="AF63" s="399">
        <f t="shared" si="9"/>
        <v>0.95309090909090965</v>
      </c>
      <c r="AG63" s="615"/>
    </row>
    <row r="64" spans="1:33" ht="15.75" customHeight="1">
      <c r="A64" s="626" t="s">
        <v>1930</v>
      </c>
      <c r="B64" s="412" t="s">
        <v>40</v>
      </c>
      <c r="C64" s="616" t="s">
        <v>52</v>
      </c>
      <c r="D64" s="616"/>
      <c r="E64" s="29">
        <v>35.869999999999997</v>
      </c>
      <c r="F64" s="32">
        <v>4155</v>
      </c>
      <c r="G64" s="400">
        <f t="shared" si="40"/>
        <v>149039.84999999998</v>
      </c>
      <c r="H64" s="33" t="s">
        <v>57</v>
      </c>
      <c r="I64" s="410">
        <v>9</v>
      </c>
      <c r="J64" s="31">
        <v>3000</v>
      </c>
      <c r="K64" s="12">
        <f t="shared" si="1"/>
        <v>333.33333333333331</v>
      </c>
      <c r="L64" s="410">
        <v>9</v>
      </c>
      <c r="M64" s="13">
        <f t="shared" si="41"/>
        <v>2865.5172413793102</v>
      </c>
      <c r="N64" s="12">
        <f t="shared" si="3"/>
        <v>318.39080459770116</v>
      </c>
      <c r="O64" s="14">
        <f t="shared" si="4"/>
        <v>0</v>
      </c>
      <c r="P64" s="15">
        <f t="shared" si="5"/>
        <v>-14.942528735632152</v>
      </c>
      <c r="Q64" s="399">
        <f t="shared" si="6"/>
        <v>0.95517241379310358</v>
      </c>
      <c r="R64" s="615"/>
      <c r="S64" s="34">
        <v>0.28888888888888886</v>
      </c>
      <c r="T64" s="34">
        <v>0.34930555555555554</v>
      </c>
      <c r="U64" s="400">
        <f t="shared" si="44"/>
        <v>5.9999999999999787</v>
      </c>
      <c r="V64" s="411">
        <f t="shared" si="42"/>
        <v>87.000000000000014</v>
      </c>
      <c r="W64" s="400"/>
      <c r="X64" s="400"/>
      <c r="Y64" s="400"/>
      <c r="Z64" s="400"/>
      <c r="AA64" s="617"/>
      <c r="AB64" s="617"/>
      <c r="AC64" s="35"/>
      <c r="AD64" s="18"/>
      <c r="AE64" s="14">
        <f t="shared" si="43"/>
        <v>-134.48275862068976</v>
      </c>
      <c r="AF64" s="399">
        <f t="shared" si="9"/>
        <v>0.95517241379310336</v>
      </c>
      <c r="AG64" s="615"/>
    </row>
    <row r="65" spans="1:33" ht="15.75" customHeight="1">
      <c r="A65" s="626" t="s">
        <v>1930</v>
      </c>
      <c r="B65" s="412" t="s">
        <v>40</v>
      </c>
      <c r="C65" s="616" t="s">
        <v>53</v>
      </c>
      <c r="D65" s="616"/>
      <c r="E65" s="29">
        <v>34.35</v>
      </c>
      <c r="F65" s="32">
        <v>1915</v>
      </c>
      <c r="G65" s="400">
        <f t="shared" si="40"/>
        <v>65780.25</v>
      </c>
      <c r="H65" s="33" t="s">
        <v>57</v>
      </c>
      <c r="I65" s="410">
        <v>8</v>
      </c>
      <c r="J65" s="31">
        <v>3000</v>
      </c>
      <c r="K65" s="12">
        <f t="shared" si="1"/>
        <v>375</v>
      </c>
      <c r="L65" s="410">
        <v>8</v>
      </c>
      <c r="M65" s="13">
        <f t="shared" si="41"/>
        <v>2872.4999999999991</v>
      </c>
      <c r="N65" s="12">
        <f t="shared" si="3"/>
        <v>359.06249999999989</v>
      </c>
      <c r="O65" s="14">
        <f t="shared" si="4"/>
        <v>0</v>
      </c>
      <c r="P65" s="15">
        <f t="shared" si="5"/>
        <v>-15.937500000000114</v>
      </c>
      <c r="Q65" s="399">
        <f t="shared" si="6"/>
        <v>0.95749999999999968</v>
      </c>
      <c r="R65" s="615"/>
      <c r="S65" s="34">
        <v>0.35486111111111107</v>
      </c>
      <c r="T65" s="34">
        <v>0.38263888888888886</v>
      </c>
      <c r="U65" s="400">
        <f t="shared" si="44"/>
        <v>7.9999999999999716</v>
      </c>
      <c r="V65" s="411">
        <f t="shared" si="42"/>
        <v>40.000000000000014</v>
      </c>
      <c r="W65" s="400"/>
      <c r="X65" s="400"/>
      <c r="Y65" s="400"/>
      <c r="Z65" s="400"/>
      <c r="AA65" s="617"/>
      <c r="AB65" s="617"/>
      <c r="AC65" s="35"/>
      <c r="AD65" s="18"/>
      <c r="AE65" s="14">
        <f t="shared" si="43"/>
        <v>-127.50000000000091</v>
      </c>
      <c r="AF65" s="399">
        <f t="shared" si="9"/>
        <v>0.95749999999999968</v>
      </c>
      <c r="AG65" s="615"/>
    </row>
    <row r="66" spans="1:33">
      <c r="A66" s="627" t="s">
        <v>1930</v>
      </c>
      <c r="B66" s="29" t="s">
        <v>1917</v>
      </c>
      <c r="C66" s="618"/>
      <c r="D66" s="618"/>
      <c r="E66" s="402"/>
      <c r="F66" s="30"/>
      <c r="G66" s="12"/>
      <c r="H66" s="412"/>
      <c r="I66" s="23">
        <v>9.25</v>
      </c>
      <c r="J66" s="31">
        <v>3000</v>
      </c>
      <c r="K66" s="12">
        <f t="shared" si="1"/>
        <v>324.32432432432432</v>
      </c>
      <c r="L66" s="23">
        <v>9.25</v>
      </c>
      <c r="M66" s="13">
        <f>AVERAGE(M62:M65)</f>
        <v>2864.0099921630099</v>
      </c>
      <c r="N66" s="12">
        <f t="shared" si="3"/>
        <v>309.62270185546055</v>
      </c>
      <c r="O66" s="14">
        <f t="shared" si="4"/>
        <v>0</v>
      </c>
      <c r="P66" s="15">
        <f t="shared" si="5"/>
        <v>-14.701622468863775</v>
      </c>
      <c r="Q66" s="399">
        <f t="shared" si="6"/>
        <v>0.95466999738767</v>
      </c>
      <c r="R66" s="615"/>
      <c r="S66" s="34"/>
      <c r="T66" s="34"/>
      <c r="U66" s="12"/>
      <c r="V66" s="411"/>
      <c r="W66" s="12"/>
      <c r="X66" s="12"/>
      <c r="Y66" s="24">
        <f>SUM(Y62:Y65)</f>
        <v>0</v>
      </c>
      <c r="Z66" s="24">
        <f>SUM(Z62:Z65)</f>
        <v>0</v>
      </c>
      <c r="AA66" s="614"/>
      <c r="AB66" s="614"/>
      <c r="AC66" s="24">
        <v>4</v>
      </c>
      <c r="AD66" s="24">
        <f>SUM(AD62:AD65)</f>
        <v>0</v>
      </c>
      <c r="AE66" s="14">
        <f t="shared" si="43"/>
        <v>-135.99000783699012</v>
      </c>
      <c r="AF66" s="399">
        <f t="shared" si="9"/>
        <v>0.95466999738767</v>
      </c>
      <c r="AG66" s="615"/>
    </row>
    <row r="67" spans="1:33" ht="15.75" customHeight="1">
      <c r="A67" s="619" t="s">
        <v>1931</v>
      </c>
      <c r="B67" s="412" t="s">
        <v>32</v>
      </c>
      <c r="C67" s="616" t="s">
        <v>56</v>
      </c>
      <c r="D67" s="616"/>
      <c r="E67" s="29">
        <v>19.02</v>
      </c>
      <c r="F67" s="412">
        <v>6500</v>
      </c>
      <c r="G67" s="400">
        <f t="shared" ref="G67:G73" si="45">E67*F67</f>
        <v>123630</v>
      </c>
      <c r="H67" s="33">
        <v>2</v>
      </c>
      <c r="I67" s="410">
        <v>14</v>
      </c>
      <c r="J67" s="31">
        <v>2400</v>
      </c>
      <c r="K67" s="12">
        <f t="shared" si="1"/>
        <v>171.42857142857142</v>
      </c>
      <c r="L67" s="410">
        <v>14</v>
      </c>
      <c r="M67" s="13">
        <f t="shared" ref="M67:M73" si="46">F67/V67*60</f>
        <v>2294.1176470588234</v>
      </c>
      <c r="N67" s="12">
        <f t="shared" si="3"/>
        <v>163.8655462184874</v>
      </c>
      <c r="O67" s="14">
        <f t="shared" si="4"/>
        <v>0</v>
      </c>
      <c r="P67" s="15">
        <f t="shared" si="5"/>
        <v>-7.563025210084021</v>
      </c>
      <c r="Q67" s="399">
        <f t="shared" si="6"/>
        <v>0.95588235294117652</v>
      </c>
      <c r="R67" s="615">
        <f>Q74</f>
        <v>0.95487682029582577</v>
      </c>
      <c r="S67" s="34">
        <v>8.3333333333333329E-2</v>
      </c>
      <c r="T67" s="34">
        <v>0.2013888888888889</v>
      </c>
      <c r="U67" s="21"/>
      <c r="V67" s="411">
        <f t="shared" ref="V67:V73" si="47">(T67-S67)*24*60</f>
        <v>170</v>
      </c>
      <c r="W67" s="16">
        <f>T67</f>
        <v>0.2013888888888889</v>
      </c>
      <c r="X67" s="16">
        <f>S68</f>
        <v>0.22083333333333335</v>
      </c>
      <c r="Y67" s="16"/>
      <c r="Z67" s="16"/>
      <c r="AA67" s="617"/>
      <c r="AB67" s="617"/>
      <c r="AC67" s="35">
        <v>7</v>
      </c>
      <c r="AD67" s="18"/>
      <c r="AE67" s="14">
        <f t="shared" si="43"/>
        <v>-105.88235294117658</v>
      </c>
      <c r="AF67" s="399">
        <f t="shared" si="9"/>
        <v>0.95588235294117641</v>
      </c>
      <c r="AG67" s="615">
        <f>AF74</f>
        <v>0.95487682029582588</v>
      </c>
    </row>
    <row r="68" spans="1:33" ht="15.75" customHeight="1">
      <c r="A68" s="620" t="s">
        <v>1931</v>
      </c>
      <c r="B68" s="412" t="s">
        <v>32</v>
      </c>
      <c r="C68" s="616" t="s">
        <v>36</v>
      </c>
      <c r="D68" s="616"/>
      <c r="E68" s="29">
        <v>20.36</v>
      </c>
      <c r="F68" s="412">
        <v>5027</v>
      </c>
      <c r="G68" s="400">
        <f t="shared" si="45"/>
        <v>102349.72</v>
      </c>
      <c r="H68" s="33" t="s">
        <v>57</v>
      </c>
      <c r="I68" s="410">
        <v>17</v>
      </c>
      <c r="J68" s="31">
        <v>2400</v>
      </c>
      <c r="K68" s="12">
        <f t="shared" si="1"/>
        <v>141.1764705882353</v>
      </c>
      <c r="L68" s="410">
        <v>17</v>
      </c>
      <c r="M68" s="13">
        <f t="shared" si="46"/>
        <v>2285.0000000000009</v>
      </c>
      <c r="N68" s="12">
        <f t="shared" si="3"/>
        <v>134.4117647058824</v>
      </c>
      <c r="O68" s="14">
        <f t="shared" si="4"/>
        <v>0</v>
      </c>
      <c r="P68" s="15">
        <f t="shared" si="5"/>
        <v>-6.7647058823528994</v>
      </c>
      <c r="Q68" s="399">
        <f t="shared" si="6"/>
        <v>0.95208333333333361</v>
      </c>
      <c r="R68" s="615"/>
      <c r="S68" s="34">
        <v>0.22083333333333335</v>
      </c>
      <c r="T68" s="34">
        <v>0.3125</v>
      </c>
      <c r="U68" s="400">
        <f t="shared" ref="U68:U73" si="48">(S68-T67)*24*60</f>
        <v>28.000000000000021</v>
      </c>
      <c r="V68" s="411">
        <f t="shared" si="47"/>
        <v>131.99999999999994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-114.99999999999909</v>
      </c>
      <c r="AF68" s="399">
        <f t="shared" si="9"/>
        <v>0.95208333333333373</v>
      </c>
      <c r="AG68" s="615"/>
    </row>
    <row r="69" spans="1:33" ht="15.75" customHeight="1">
      <c r="A69" s="620" t="s">
        <v>1931</v>
      </c>
      <c r="B69" s="412" t="s">
        <v>32</v>
      </c>
      <c r="C69" s="616" t="s">
        <v>54</v>
      </c>
      <c r="D69" s="616"/>
      <c r="E69" s="29">
        <v>20.21</v>
      </c>
      <c r="F69" s="412">
        <v>3684</v>
      </c>
      <c r="G69" s="400">
        <f t="shared" si="45"/>
        <v>74453.64</v>
      </c>
      <c r="H69" s="33" t="s">
        <v>57</v>
      </c>
      <c r="I69" s="410">
        <v>15</v>
      </c>
      <c r="J69" s="31">
        <v>2400</v>
      </c>
      <c r="K69" s="12">
        <f t="shared" ref="K69:K74" si="49">J69/I69</f>
        <v>160</v>
      </c>
      <c r="L69" s="410">
        <v>15</v>
      </c>
      <c r="M69" s="13">
        <f t="shared" si="46"/>
        <v>2302.5000000000009</v>
      </c>
      <c r="N69" s="12">
        <f t="shared" ref="N69:N74" si="50">M69/L69</f>
        <v>153.50000000000006</v>
      </c>
      <c r="O69" s="14">
        <f t="shared" ref="O69:O74" si="51">L69-I69</f>
        <v>0</v>
      </c>
      <c r="P69" s="15">
        <f t="shared" ref="P69:P74" si="52">N69-K69</f>
        <v>-6.4999999999999432</v>
      </c>
      <c r="Q69" s="399">
        <f t="shared" ref="Q69:Q74" si="53">N69/K69</f>
        <v>0.95937500000000031</v>
      </c>
      <c r="R69" s="615"/>
      <c r="S69" s="34">
        <v>0.31597222222222221</v>
      </c>
      <c r="T69" s="34">
        <v>0.38263888888888886</v>
      </c>
      <c r="U69" s="400">
        <f t="shared" si="48"/>
        <v>4.9999999999999822</v>
      </c>
      <c r="V69" s="411">
        <f t="shared" si="47"/>
        <v>95.999999999999972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-97.499999999999091</v>
      </c>
      <c r="AF69" s="399">
        <f t="shared" ref="AF69:AF74" si="54">M69/J69</f>
        <v>0.95937500000000042</v>
      </c>
      <c r="AG69" s="615"/>
    </row>
    <row r="70" spans="1:33" ht="15.75" customHeight="1">
      <c r="A70" s="620" t="s">
        <v>1931</v>
      </c>
      <c r="B70" s="412" t="s">
        <v>32</v>
      </c>
      <c r="C70" s="616" t="s">
        <v>55</v>
      </c>
      <c r="D70" s="616"/>
      <c r="E70" s="29">
        <v>22.69</v>
      </c>
      <c r="F70" s="412">
        <v>3523</v>
      </c>
      <c r="G70" s="400">
        <f t="shared" si="45"/>
        <v>79936.87000000001</v>
      </c>
      <c r="H70" s="33" t="s">
        <v>57</v>
      </c>
      <c r="I70" s="410">
        <v>15</v>
      </c>
      <c r="J70" s="31">
        <v>2400</v>
      </c>
      <c r="K70" s="12">
        <f t="shared" si="49"/>
        <v>160</v>
      </c>
      <c r="L70" s="410">
        <v>15</v>
      </c>
      <c r="M70" s="13">
        <f t="shared" si="46"/>
        <v>2297.608695652174</v>
      </c>
      <c r="N70" s="12">
        <f t="shared" si="50"/>
        <v>153.17391304347828</v>
      </c>
      <c r="O70" s="14">
        <f t="shared" si="51"/>
        <v>0</v>
      </c>
      <c r="P70" s="15">
        <f t="shared" si="52"/>
        <v>-6.8260869565217206</v>
      </c>
      <c r="Q70" s="399">
        <f t="shared" si="53"/>
        <v>0.95733695652173922</v>
      </c>
      <c r="R70" s="615"/>
      <c r="S70" s="34">
        <v>0.38611111111111107</v>
      </c>
      <c r="T70" s="34">
        <v>0.44999999999999996</v>
      </c>
      <c r="U70" s="400">
        <f t="shared" si="48"/>
        <v>4.9999999999999822</v>
      </c>
      <c r="V70" s="411">
        <f t="shared" si="47"/>
        <v>92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-102.39130434782601</v>
      </c>
      <c r="AF70" s="399">
        <f t="shared" si="54"/>
        <v>0.95733695652173911</v>
      </c>
      <c r="AG70" s="615"/>
    </row>
    <row r="71" spans="1:33" ht="15.75" customHeight="1">
      <c r="A71" s="620" t="s">
        <v>1931</v>
      </c>
      <c r="B71" s="412" t="s">
        <v>32</v>
      </c>
      <c r="C71" s="616" t="s">
        <v>949</v>
      </c>
      <c r="D71" s="616"/>
      <c r="E71" s="29">
        <v>25.98</v>
      </c>
      <c r="F71" s="412">
        <v>3700</v>
      </c>
      <c r="G71" s="400">
        <f t="shared" si="45"/>
        <v>96126</v>
      </c>
      <c r="H71" s="33">
        <v>2</v>
      </c>
      <c r="I71" s="410">
        <v>17</v>
      </c>
      <c r="J71" s="31">
        <v>2400</v>
      </c>
      <c r="K71" s="12">
        <f t="shared" si="49"/>
        <v>141.1764705882353</v>
      </c>
      <c r="L71" s="410">
        <v>17</v>
      </c>
      <c r="M71" s="13">
        <f t="shared" si="46"/>
        <v>2288.6597938144337</v>
      </c>
      <c r="N71" s="12">
        <f t="shared" si="50"/>
        <v>134.62704669496668</v>
      </c>
      <c r="O71" s="14">
        <f t="shared" si="51"/>
        <v>0</v>
      </c>
      <c r="P71" s="15">
        <f t="shared" si="52"/>
        <v>-6.5494238932686244</v>
      </c>
      <c r="Q71" s="399">
        <f t="shared" si="53"/>
        <v>0.95360824742268058</v>
      </c>
      <c r="R71" s="615"/>
      <c r="S71" s="34">
        <v>0.45347222222222217</v>
      </c>
      <c r="T71" s="34">
        <v>0.52083333333333326</v>
      </c>
      <c r="U71" s="400">
        <f t="shared" si="48"/>
        <v>4.9999999999999822</v>
      </c>
      <c r="V71" s="411">
        <f t="shared" si="47"/>
        <v>96.999999999999972</v>
      </c>
      <c r="W71" s="16">
        <f>T71</f>
        <v>0.52083333333333326</v>
      </c>
      <c r="X71" s="16">
        <f>S72</f>
        <v>0.56249999999999989</v>
      </c>
      <c r="Y71" s="16"/>
      <c r="Z71" s="16"/>
      <c r="AA71" s="617"/>
      <c r="AB71" s="617"/>
      <c r="AC71" s="35"/>
      <c r="AD71" s="18"/>
      <c r="AE71" s="14">
        <f t="shared" si="43"/>
        <v>-111.34020618556633</v>
      </c>
      <c r="AF71" s="399">
        <f t="shared" si="54"/>
        <v>0.95360824742268069</v>
      </c>
      <c r="AG71" s="615"/>
    </row>
    <row r="72" spans="1:33" ht="15.75" customHeight="1">
      <c r="A72" s="620" t="s">
        <v>1931</v>
      </c>
      <c r="B72" s="412" t="s">
        <v>32</v>
      </c>
      <c r="C72" s="616" t="s">
        <v>56</v>
      </c>
      <c r="D72" s="616"/>
      <c r="E72" s="29">
        <v>19.02</v>
      </c>
      <c r="F72" s="412">
        <v>5158</v>
      </c>
      <c r="G72" s="400">
        <f t="shared" si="45"/>
        <v>98105.16</v>
      </c>
      <c r="H72" s="33" t="s">
        <v>57</v>
      </c>
      <c r="I72" s="410">
        <v>14</v>
      </c>
      <c r="J72" s="31">
        <v>2400</v>
      </c>
      <c r="K72" s="12">
        <f t="shared" si="49"/>
        <v>171.42857142857142</v>
      </c>
      <c r="L72" s="410">
        <v>14</v>
      </c>
      <c r="M72" s="13">
        <f t="shared" si="46"/>
        <v>2292.4444444444443</v>
      </c>
      <c r="N72" s="12">
        <f t="shared" si="50"/>
        <v>163.74603174603175</v>
      </c>
      <c r="O72" s="14">
        <f t="shared" si="51"/>
        <v>0</v>
      </c>
      <c r="P72" s="15">
        <f t="shared" si="52"/>
        <v>-7.6825396825396695</v>
      </c>
      <c r="Q72" s="399">
        <f t="shared" si="53"/>
        <v>0.95518518518518525</v>
      </c>
      <c r="R72" s="615"/>
      <c r="S72" s="34">
        <v>0.56249999999999989</v>
      </c>
      <c r="T72" s="34">
        <v>0.65624999999999989</v>
      </c>
      <c r="U72" s="400">
        <f t="shared" si="48"/>
        <v>59.999999999999943</v>
      </c>
      <c r="V72" s="411">
        <f t="shared" si="47"/>
        <v>135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-107.55555555555566</v>
      </c>
      <c r="AF72" s="399">
        <f t="shared" si="54"/>
        <v>0.95518518518518514</v>
      </c>
      <c r="AG72" s="615"/>
    </row>
    <row r="73" spans="1:33" ht="15.75" customHeight="1">
      <c r="A73" s="620" t="s">
        <v>1931</v>
      </c>
      <c r="B73" s="412" t="s">
        <v>32</v>
      </c>
      <c r="C73" s="622" t="s">
        <v>949</v>
      </c>
      <c r="D73" s="623"/>
      <c r="E73" s="29">
        <v>25.98</v>
      </c>
      <c r="F73" s="412">
        <v>2852</v>
      </c>
      <c r="G73" s="400">
        <f t="shared" si="45"/>
        <v>74094.960000000006</v>
      </c>
      <c r="H73" s="33" t="s">
        <v>57</v>
      </c>
      <c r="I73" s="410">
        <v>17</v>
      </c>
      <c r="J73" s="31">
        <v>2400</v>
      </c>
      <c r="K73" s="12">
        <f t="shared" si="49"/>
        <v>141.1764705882353</v>
      </c>
      <c r="L73" s="410">
        <v>17</v>
      </c>
      <c r="M73" s="13">
        <f t="shared" si="46"/>
        <v>2281.5999999999981</v>
      </c>
      <c r="N73" s="12">
        <f t="shared" si="50"/>
        <v>134.21176470588225</v>
      </c>
      <c r="O73" s="14">
        <f t="shared" si="51"/>
        <v>0</v>
      </c>
      <c r="P73" s="15">
        <f t="shared" si="52"/>
        <v>-6.9647058823530585</v>
      </c>
      <c r="Q73" s="399">
        <f t="shared" si="53"/>
        <v>0.95066666666666588</v>
      </c>
      <c r="R73" s="615"/>
      <c r="S73" s="34">
        <v>0.66111111111111098</v>
      </c>
      <c r="T73" s="34">
        <v>0.71319444444444435</v>
      </c>
      <c r="U73" s="400">
        <f t="shared" si="48"/>
        <v>6.9999999999999751</v>
      </c>
      <c r="V73" s="411">
        <f t="shared" si="47"/>
        <v>75.000000000000057</v>
      </c>
      <c r="W73" s="16"/>
      <c r="X73" s="16"/>
      <c r="Y73" s="19"/>
      <c r="Z73" s="19"/>
      <c r="AA73" s="624"/>
      <c r="AB73" s="625"/>
      <c r="AC73" s="35"/>
      <c r="AD73" s="18"/>
      <c r="AE73" s="14">
        <f t="shared" si="43"/>
        <v>-118.40000000000191</v>
      </c>
      <c r="AF73" s="399">
        <f t="shared" si="54"/>
        <v>0.95066666666666588</v>
      </c>
      <c r="AG73" s="615"/>
    </row>
    <row r="74" spans="1:33" ht="16.5" customHeight="1">
      <c r="A74" s="621" t="s">
        <v>1931</v>
      </c>
      <c r="B74" s="29" t="s">
        <v>1917</v>
      </c>
      <c r="C74" s="612"/>
      <c r="D74" s="613"/>
      <c r="E74" s="402"/>
      <c r="F74" s="30"/>
      <c r="G74" s="12"/>
      <c r="H74" s="412"/>
      <c r="I74" s="23">
        <v>15.571428571428571</v>
      </c>
      <c r="J74" s="31">
        <v>2400</v>
      </c>
      <c r="K74" s="12">
        <f t="shared" si="49"/>
        <v>154.12844036697248</v>
      </c>
      <c r="L74" s="23">
        <v>15.571428571428571</v>
      </c>
      <c r="M74" s="13">
        <f>AVERAGE(M67:M73)</f>
        <v>2291.7043687099822</v>
      </c>
      <c r="N74" s="12">
        <f t="shared" si="50"/>
        <v>147.17367505476949</v>
      </c>
      <c r="O74" s="14">
        <f t="shared" si="51"/>
        <v>0</v>
      </c>
      <c r="P74" s="15">
        <f t="shared" si="52"/>
        <v>-6.9547653122029942</v>
      </c>
      <c r="Q74" s="399">
        <f t="shared" si="53"/>
        <v>0.95487682029582577</v>
      </c>
      <c r="R74" s="615"/>
      <c r="S74" s="34"/>
      <c r="T74" s="34"/>
      <c r="U74" s="12"/>
      <c r="V74" s="411"/>
      <c r="W74" s="12"/>
      <c r="X74" s="12"/>
      <c r="Y74" s="24">
        <f>SUM(Y67:Y73)</f>
        <v>0</v>
      </c>
      <c r="Z74" s="24">
        <f>SUM(Z67:Z73)</f>
        <v>0</v>
      </c>
      <c r="AA74" s="614"/>
      <c r="AB74" s="614"/>
      <c r="AC74" s="24">
        <v>7</v>
      </c>
      <c r="AD74" s="24">
        <f>SUM(AD67:AD73)</f>
        <v>0</v>
      </c>
      <c r="AE74" s="14">
        <f t="shared" si="43"/>
        <v>-108.29563129001781</v>
      </c>
      <c r="AF74" s="399">
        <f t="shared" si="54"/>
        <v>0.95487682029582588</v>
      </c>
      <c r="AG74" s="615"/>
    </row>
    <row r="75" spans="1:33">
      <c r="D75" s="25"/>
      <c r="E75" s="25"/>
    </row>
  </sheetData>
  <mergeCells count="195">
    <mergeCell ref="AG67:AG74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67:A74"/>
    <mergeCell ref="C67:D67"/>
    <mergeCell ref="R67:R74"/>
    <mergeCell ref="AA67:AB67"/>
    <mergeCell ref="AA72:AB72"/>
    <mergeCell ref="C73:D73"/>
    <mergeCell ref="AA73:AB73"/>
    <mergeCell ref="A62:A66"/>
    <mergeCell ref="C62:D62"/>
    <mergeCell ref="R62:R66"/>
    <mergeCell ref="AA62:AB62"/>
    <mergeCell ref="C74:D74"/>
    <mergeCell ref="AA74:AB74"/>
    <mergeCell ref="AG62:AG66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40:A48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31:A39"/>
    <mergeCell ref="C31:D31"/>
    <mergeCell ref="R31:R39"/>
    <mergeCell ref="AA31:AB31"/>
    <mergeCell ref="AA36:AB36"/>
    <mergeCell ref="C37:D37"/>
    <mergeCell ref="AG31:AG39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AA39:AB39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5:O72 O61:O62 O74 O5:O9 O14:O16 O22:O59">
    <cfRule type="cellIs" dxfId="1369" priority="53" operator="greaterThan">
      <formula>0</formula>
    </cfRule>
  </conditionalFormatting>
  <conditionalFormatting sqref="P5:P7 P65 AE65 P67:P72 P31:P38 P62 P9 P14:P16 P23:P29 P54:P59 P40:P52 AE5:AE62 AE67:AE74">
    <cfRule type="cellIs" dxfId="1368" priority="57" operator="lessThan">
      <formula>0</formula>
    </cfRule>
  </conditionalFormatting>
  <conditionalFormatting sqref="AF65 Q65:Q72 Q61:Q62 Q74 Q5:Q9 Q14:Q16 Q22:Q59 AF5:AF62 AF67:AF74">
    <cfRule type="cellIs" dxfId="1367" priority="54" operator="greaterThan">
      <formula>1</formula>
    </cfRule>
    <cfRule type="cellIs" dxfId="1366" priority="55" operator="lessThan">
      <formula>0.8</formula>
    </cfRule>
  </conditionalFormatting>
  <conditionalFormatting sqref="AG15:AG16 R15:R16 AG65 R65:R72 R22:R28 AG22:AG28 AG61:AG62 R61:R62 R74 AG5:AG9 R5:R9 AG30:AG59 R30:R59">
    <cfRule type="cellIs" dxfId="1365" priority="59" operator="lessThan">
      <formula>0.8</formula>
    </cfRule>
  </conditionalFormatting>
  <conditionalFormatting sqref="AG49">
    <cfRule type="cellIs" dxfId="1364" priority="61" operator="lessThan">
      <formula>0.8</formula>
    </cfRule>
  </conditionalFormatting>
  <conditionalFormatting sqref="AG23:AG28">
    <cfRule type="cellIs" dxfId="1363" priority="58" operator="lessThan">
      <formula>0.8</formula>
    </cfRule>
  </conditionalFormatting>
  <conditionalFormatting sqref="AG31">
    <cfRule type="cellIs" dxfId="1362" priority="60" operator="lessThan">
      <formula>0.8</formula>
    </cfRule>
  </conditionalFormatting>
  <conditionalFormatting sqref="AG40:AG47">
    <cfRule type="cellIs" dxfId="1361" priority="56" operator="lessThan">
      <formula>0.8</formula>
    </cfRule>
  </conditionalFormatting>
  <conditionalFormatting sqref="AE66">
    <cfRule type="cellIs" dxfId="1360" priority="52" operator="lessThan">
      <formula>0</formula>
    </cfRule>
  </conditionalFormatting>
  <conditionalFormatting sqref="AF66">
    <cfRule type="cellIs" dxfId="1359" priority="50" operator="greaterThan">
      <formula>1</formula>
    </cfRule>
    <cfRule type="cellIs" dxfId="1358" priority="51" operator="lessThan">
      <formula>0.8</formula>
    </cfRule>
  </conditionalFormatting>
  <conditionalFormatting sqref="O17:O18">
    <cfRule type="cellIs" dxfId="1357" priority="45" operator="greaterThan">
      <formula>0</formula>
    </cfRule>
  </conditionalFormatting>
  <conditionalFormatting sqref="P17:P18">
    <cfRule type="cellIs" dxfId="1356" priority="48" operator="lessThan">
      <formula>0</formula>
    </cfRule>
  </conditionalFormatting>
  <conditionalFormatting sqref="Q17:Q18">
    <cfRule type="cellIs" dxfId="1355" priority="46" operator="greaterThan">
      <formula>1</formula>
    </cfRule>
    <cfRule type="cellIs" dxfId="1354" priority="47" operator="lessThan">
      <formula>0.8</formula>
    </cfRule>
  </conditionalFormatting>
  <conditionalFormatting sqref="R17:R18 AG17:AG18">
    <cfRule type="cellIs" dxfId="1353" priority="49" operator="lessThan">
      <formula>0.8</formula>
    </cfRule>
  </conditionalFormatting>
  <conditionalFormatting sqref="O10:O13">
    <cfRule type="cellIs" dxfId="1352" priority="41" operator="greaterThan">
      <formula>0</formula>
    </cfRule>
  </conditionalFormatting>
  <conditionalFormatting sqref="P10:P13">
    <cfRule type="cellIs" dxfId="1351" priority="44" operator="lessThan">
      <formula>0</formula>
    </cfRule>
  </conditionalFormatting>
  <conditionalFormatting sqref="Q10:Q13">
    <cfRule type="cellIs" dxfId="1350" priority="42" operator="greaterThan">
      <formula>1</formula>
    </cfRule>
    <cfRule type="cellIs" dxfId="1349" priority="43" operator="lessThan">
      <formula>0.8</formula>
    </cfRule>
  </conditionalFormatting>
  <conditionalFormatting sqref="O60">
    <cfRule type="cellIs" dxfId="1348" priority="36" operator="greaterThan">
      <formula>0</formula>
    </cfRule>
  </conditionalFormatting>
  <conditionalFormatting sqref="P60">
    <cfRule type="cellIs" dxfId="1347" priority="39" operator="lessThan">
      <formula>0</formula>
    </cfRule>
  </conditionalFormatting>
  <conditionalFormatting sqref="Q60">
    <cfRule type="cellIs" dxfId="1346" priority="37" operator="greaterThan">
      <formula>1</formula>
    </cfRule>
    <cfRule type="cellIs" dxfId="1345" priority="38" operator="lessThan">
      <formula>0.8</formula>
    </cfRule>
  </conditionalFormatting>
  <conditionalFormatting sqref="R60 AG60">
    <cfRule type="cellIs" dxfId="1344" priority="40" operator="lessThan">
      <formula>0.8</formula>
    </cfRule>
  </conditionalFormatting>
  <conditionalFormatting sqref="O64">
    <cfRule type="cellIs" dxfId="1343" priority="31" operator="greaterThan">
      <formula>0</formula>
    </cfRule>
  </conditionalFormatting>
  <conditionalFormatting sqref="P64 AE64">
    <cfRule type="cellIs" dxfId="1342" priority="34" operator="lessThan">
      <formula>0</formula>
    </cfRule>
  </conditionalFormatting>
  <conditionalFormatting sqref="Q64 AF64">
    <cfRule type="cellIs" dxfId="1341" priority="32" operator="greaterThan">
      <formula>1</formula>
    </cfRule>
    <cfRule type="cellIs" dxfId="1340" priority="33" operator="lessThan">
      <formula>0.8</formula>
    </cfRule>
  </conditionalFormatting>
  <conditionalFormatting sqref="R64 AG64">
    <cfRule type="cellIs" dxfId="1339" priority="35" operator="lessThan">
      <formula>0.8</formula>
    </cfRule>
  </conditionalFormatting>
  <conditionalFormatting sqref="O73">
    <cfRule type="cellIs" dxfId="1338" priority="26" operator="greaterThan">
      <formula>0</formula>
    </cfRule>
  </conditionalFormatting>
  <conditionalFormatting sqref="P73">
    <cfRule type="cellIs" dxfId="1337" priority="29" operator="lessThan">
      <formula>0</formula>
    </cfRule>
  </conditionalFormatting>
  <conditionalFormatting sqref="Q73">
    <cfRule type="cellIs" dxfId="1336" priority="27" operator="greaterThan">
      <formula>1</formula>
    </cfRule>
    <cfRule type="cellIs" dxfId="1335" priority="28" operator="lessThan">
      <formula>0.8</formula>
    </cfRule>
  </conditionalFormatting>
  <conditionalFormatting sqref="R73">
    <cfRule type="cellIs" dxfId="1334" priority="30" operator="lessThan">
      <formula>0.8</formula>
    </cfRule>
  </conditionalFormatting>
  <conditionalFormatting sqref="O19:O20">
    <cfRule type="cellIs" dxfId="1333" priority="21" operator="greaterThan">
      <formula>0</formula>
    </cfRule>
  </conditionalFormatting>
  <conditionalFormatting sqref="P19:P20">
    <cfRule type="cellIs" dxfId="1332" priority="24" operator="lessThan">
      <formula>0</formula>
    </cfRule>
  </conditionalFormatting>
  <conditionalFormatting sqref="Q19:Q20">
    <cfRule type="cellIs" dxfId="1331" priority="22" operator="greaterThan">
      <formula>1</formula>
    </cfRule>
    <cfRule type="cellIs" dxfId="1330" priority="23" operator="lessThan">
      <formula>0.8</formula>
    </cfRule>
  </conditionalFormatting>
  <conditionalFormatting sqref="R19:R20 AG19:AG20">
    <cfRule type="cellIs" dxfId="1329" priority="25" operator="lessThan">
      <formula>0.8</formula>
    </cfRule>
  </conditionalFormatting>
  <conditionalFormatting sqref="R29 AG29">
    <cfRule type="cellIs" dxfId="1328" priority="20" operator="lessThan">
      <formula>0.8</formula>
    </cfRule>
  </conditionalFormatting>
  <conditionalFormatting sqref="AG29">
    <cfRule type="cellIs" dxfId="1327" priority="19" operator="lessThan">
      <formula>0.8</formula>
    </cfRule>
  </conditionalFormatting>
  <conditionalFormatting sqref="O63">
    <cfRule type="cellIs" dxfId="1326" priority="14" operator="greaterThan">
      <formula>0</formula>
    </cfRule>
  </conditionalFormatting>
  <conditionalFormatting sqref="P63 AE63">
    <cfRule type="cellIs" dxfId="1325" priority="17" operator="lessThan">
      <formula>0</formula>
    </cfRule>
  </conditionalFormatting>
  <conditionalFormatting sqref="Q63 AF63">
    <cfRule type="cellIs" dxfId="1324" priority="15" operator="greaterThan">
      <formula>1</formula>
    </cfRule>
    <cfRule type="cellIs" dxfId="1323" priority="16" operator="lessThan">
      <formula>0.8</formula>
    </cfRule>
  </conditionalFormatting>
  <conditionalFormatting sqref="R63 AG63">
    <cfRule type="cellIs" dxfId="1322" priority="18" operator="lessThan">
      <formula>0.8</formula>
    </cfRule>
  </conditionalFormatting>
  <conditionalFormatting sqref="O21">
    <cfRule type="cellIs" dxfId="1321" priority="9" operator="greaterThan">
      <formula>0</formula>
    </cfRule>
  </conditionalFormatting>
  <conditionalFormatting sqref="P21">
    <cfRule type="cellIs" dxfId="1320" priority="12" operator="lessThan">
      <formula>0</formula>
    </cfRule>
  </conditionalFormatting>
  <conditionalFormatting sqref="Q21">
    <cfRule type="cellIs" dxfId="1319" priority="10" operator="greaterThan">
      <formula>1</formula>
    </cfRule>
    <cfRule type="cellIs" dxfId="1318" priority="11" operator="lessThan">
      <formula>0.8</formula>
    </cfRule>
  </conditionalFormatting>
  <conditionalFormatting sqref="AG21 R21">
    <cfRule type="cellIs" dxfId="1317" priority="13" operator="lessThan">
      <formula>0.8</formula>
    </cfRule>
  </conditionalFormatting>
  <conditionalFormatting sqref="P8">
    <cfRule type="cellIs" dxfId="1316" priority="8" operator="lessThan">
      <formula>0</formula>
    </cfRule>
  </conditionalFormatting>
  <conditionalFormatting sqref="P22">
    <cfRule type="cellIs" dxfId="1315" priority="7" operator="lessThan">
      <formula>0</formula>
    </cfRule>
  </conditionalFormatting>
  <conditionalFormatting sqref="P30">
    <cfRule type="cellIs" dxfId="1314" priority="6" operator="lessThan">
      <formula>0</formula>
    </cfRule>
  </conditionalFormatting>
  <conditionalFormatting sqref="P39">
    <cfRule type="cellIs" dxfId="1313" priority="5" operator="lessThan">
      <formula>0</formula>
    </cfRule>
  </conditionalFormatting>
  <conditionalFormatting sqref="P53">
    <cfRule type="cellIs" dxfId="1312" priority="4" operator="lessThan">
      <formula>0</formula>
    </cfRule>
  </conditionalFormatting>
  <conditionalFormatting sqref="P61">
    <cfRule type="cellIs" dxfId="1311" priority="3" operator="lessThan">
      <formula>0</formula>
    </cfRule>
  </conditionalFormatting>
  <conditionalFormatting sqref="P66">
    <cfRule type="cellIs" dxfId="1310" priority="2" operator="lessThan">
      <formula>0</formula>
    </cfRule>
  </conditionalFormatting>
  <conditionalFormatting sqref="P74">
    <cfRule type="cellIs" dxfId="1309" priority="1" operator="lessThan">
      <formula>0</formula>
    </cfRule>
  </conditionalFormatting>
  <dataValidations count="1">
    <dataValidation type="list" allowBlank="1" showInputMessage="1" showErrorMessage="1" sqref="AB8 AA5:AB7 AA8:AA65 AB10:AB62 AA66:AB7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F16" sqref="F16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1775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1776</v>
      </c>
      <c r="C3" s="601" t="str">
        <f>TEXT('0620 4度C'!A2,"yyyy.mm.ddaaaa")</f>
        <v>2026.06.20星期六</v>
      </c>
      <c r="D3" s="602"/>
      <c r="E3" s="39" t="s">
        <v>1777</v>
      </c>
      <c r="F3" s="603">
        <f>'0620 4度C'!D1</f>
        <v>134233</v>
      </c>
      <c r="G3" s="604"/>
      <c r="H3" s="39" t="s">
        <v>188</v>
      </c>
      <c r="I3" s="605">
        <f>'0620 4度C'!F1</f>
        <v>4690224.9499999983</v>
      </c>
      <c r="J3" s="606"/>
      <c r="K3" s="40"/>
      <c r="L3" s="41"/>
      <c r="M3" s="42"/>
      <c r="N3" s="42"/>
    </row>
    <row r="4" spans="2:17" ht="28.5" customHeight="1">
      <c r="B4" s="607" t="s">
        <v>1778</v>
      </c>
      <c r="C4" s="593" t="s">
        <v>190</v>
      </c>
      <c r="D4" s="594"/>
      <c r="E4" s="610" t="s">
        <v>191</v>
      </c>
      <c r="F4" s="611"/>
      <c r="G4" s="610" t="s">
        <v>95</v>
      </c>
      <c r="H4" s="611"/>
      <c r="I4" s="610" t="s">
        <v>1779</v>
      </c>
      <c r="J4" s="611"/>
      <c r="K4" s="591" t="s">
        <v>97</v>
      </c>
      <c r="L4" s="592"/>
      <c r="M4" s="592" t="s">
        <v>1780</v>
      </c>
      <c r="N4" s="592"/>
    </row>
    <row r="5" spans="2:17" ht="28.5" customHeight="1">
      <c r="B5" s="608"/>
      <c r="C5" s="593" t="s">
        <v>376</v>
      </c>
      <c r="D5" s="594"/>
      <c r="E5" s="593" t="s">
        <v>1781</v>
      </c>
      <c r="F5" s="594"/>
      <c r="G5" s="595" t="s">
        <v>100</v>
      </c>
      <c r="H5" s="596"/>
      <c r="I5" s="597" t="s">
        <v>1782</v>
      </c>
      <c r="J5" s="598"/>
      <c r="K5" s="43" t="s">
        <v>294</v>
      </c>
      <c r="L5" s="44" t="s">
        <v>1783</v>
      </c>
      <c r="M5" s="43" t="s">
        <v>1784</v>
      </c>
      <c r="N5" s="44" t="s">
        <v>1785</v>
      </c>
    </row>
    <row r="6" spans="2:17" ht="28.5" customHeight="1">
      <c r="B6" s="608"/>
      <c r="C6" s="593" t="s">
        <v>58</v>
      </c>
      <c r="D6" s="594"/>
      <c r="E6" s="585">
        <f>AVERAGE(D13:M13)</f>
        <v>153.77659985561019</v>
      </c>
      <c r="F6" s="586">
        <f>AVERAGE(D31:O31,D13:J13)</f>
        <v>159.99150236351051</v>
      </c>
      <c r="G6" s="587">
        <f>AVERAGE(D13:J13)</f>
        <v>159.99150236351051</v>
      </c>
      <c r="H6" s="588"/>
      <c r="I6" s="587">
        <f>AVERAGE(K13:M13)</f>
        <v>139.27516067050951</v>
      </c>
      <c r="J6" s="588"/>
      <c r="K6" s="589">
        <f>'0620 4度C'!Y2</f>
        <v>0</v>
      </c>
      <c r="L6" s="574">
        <f>'0620 4度C'!Z2</f>
        <v>0</v>
      </c>
      <c r="M6" s="590">
        <f>'0620 4度C'!AC2</f>
        <v>50</v>
      </c>
      <c r="N6" s="574">
        <f>'0620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147.37570743799157</v>
      </c>
      <c r="F7" s="578">
        <f>AVERAGE(D32:O32,D14:J14)</f>
        <v>153.45228389857286</v>
      </c>
      <c r="G7" s="579">
        <f>AVERAGE(D14:J14)</f>
        <v>153.45228389857286</v>
      </c>
      <c r="H7" s="580"/>
      <c r="I7" s="579">
        <f>AVERAGE(K14:M14)</f>
        <v>133.19702902996855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0.95771456382117837</v>
      </c>
      <c r="F8" s="582">
        <f>AVERAGE(D15:J15,D33:O33)</f>
        <v>0.95829954520639515</v>
      </c>
      <c r="G8" s="583">
        <f>AVERAGE(D15:J15)</f>
        <v>0.95829954520639515</v>
      </c>
      <c r="H8" s="584"/>
      <c r="I8" s="583">
        <f>AVERAGE(K15:M15)</f>
        <v>0.95634960725567197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1786</v>
      </c>
      <c r="N9" s="42"/>
      <c r="O9" s="42"/>
      <c r="P9" s="42"/>
      <c r="Q9" s="42"/>
    </row>
    <row r="10" spans="2:17" ht="30" customHeight="1">
      <c r="B10" s="557" t="s">
        <v>1787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1788</v>
      </c>
      <c r="L10" s="563"/>
      <c r="M10" s="564"/>
      <c r="P10" s="48"/>
      <c r="Q10" s="48"/>
    </row>
    <row r="11" spans="2:17" ht="17.25" customHeight="1">
      <c r="B11" s="565" t="s">
        <v>1789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109</v>
      </c>
      <c r="C13" s="55" t="s">
        <v>110</v>
      </c>
      <c r="D13" s="56">
        <f>SUMIFS('0620 4度C'!$K:$K,'0620 4度C'!$A:$A,"新豐6線",'0620 4度C'!$B:$B,"平均")</f>
        <v>130.43478260869566</v>
      </c>
      <c r="E13" s="57">
        <f>SUMIFS('0620 4度C'!$K:$K,'0620 4度C'!$A:$A,"新豐2線",'0620 4度C'!$B:$B,"平均")</f>
        <v>86.538461538461547</v>
      </c>
      <c r="F13" s="58">
        <f>SUMIFS('0620 4度C'!$K:$K,'0620 4度C'!$A:$A,"新豐5線",'0620 4度C'!$B:$B,"平均")</f>
        <v>87.786259541984734</v>
      </c>
      <c r="G13" s="58">
        <f>SUMIFS('0620 4度C'!$K:$K,'0620 4度C'!$A:$A,"新豐7線",'0620 4度C'!$B:$B,"平均")</f>
        <v>115.38461538461539</v>
      </c>
      <c r="H13" s="58">
        <f>SUMIFS('0620 4度C'!$K:$K,'0620 4度C'!$A:$A,"新豐3線",'0620 4度C'!$B:$B,"平均")</f>
        <v>255.81395348837211</v>
      </c>
      <c r="I13" s="58">
        <f>SUMIFS('0620 4度C'!$K:$K,'0620 4度C'!$A:$A,"新豐1線",'0620 4度C'!$B:$B,"平均")</f>
        <v>119.65811965811965</v>
      </c>
      <c r="J13" s="59">
        <f>SUMIFS('0620 4度C'!$K:$K,'0620 4度C'!$A:$A,"新豐10線",'0620 4度C'!$B:$B,"平均")</f>
        <v>324.32432432432432</v>
      </c>
      <c r="K13" s="60">
        <f>SUMIFS('0620 4度C'!$K:$K,'0620 4度C'!$A:$A,"新豐8線",'0620 4度C'!$B:$B,"平均")</f>
        <v>139.53488372093022</v>
      </c>
      <c r="L13" s="61">
        <f>SUMIFS('0620 4度C'!$K:$K,'0620 4度C'!$A:$A,"新豐9線",'0620 4度C'!$B:$B,"平均")</f>
        <v>124.44444444444444</v>
      </c>
      <c r="M13" s="59">
        <f>SUMIFS('0620 4度C'!$K:$K,'0620 4度C'!$A:$A,"新豐4線",'0620 4度C'!$B:$B,"平均")</f>
        <v>153.84615384615384</v>
      </c>
    </row>
    <row r="14" spans="2:17" ht="39.6" customHeight="1">
      <c r="B14" s="570"/>
      <c r="C14" s="62" t="s">
        <v>1790</v>
      </c>
      <c r="D14" s="63">
        <f>SUMIFS('0620 4度C'!$N:$N,'0620 4度C'!$A:$A,"新豐6線",'0620 4度C'!$B:$B,"平均")</f>
        <v>124.93357764544207</v>
      </c>
      <c r="E14" s="64">
        <f>SUMIFS('0620 4度C'!$N:$N,'0620 4度C'!$A:$A,"新豐2線",'0620 4度C'!$B:$B,"平均")</f>
        <v>82.596786906139442</v>
      </c>
      <c r="F14" s="64">
        <f>SUMIFS('0620 4度C'!$N:$N,'0620 4度C'!$A:$A,"新豐5線",'0620 4度C'!$B:$B,"平均")</f>
        <v>84.057735363082912</v>
      </c>
      <c r="G14" s="64">
        <f>SUMIFS('0620 4度C'!$N:$N,'0620 4度C'!$A:$A,"新豐7線",'0620 4度C'!$B:$B,"平均")</f>
        <v>110.66440443441742</v>
      </c>
      <c r="H14" s="64">
        <f>SUMIFS('0620 4度C'!$N:$N,'0620 4度C'!$A:$A,"新豐3線",'0620 4度C'!$B:$B,"平均")</f>
        <v>244.37718834272798</v>
      </c>
      <c r="I14" s="64">
        <f>SUMIFS('0620 4度C'!$N:$N,'0620 4度C'!$A:$A,"新豐1線",'0620 4度C'!$B:$B,"平均")</f>
        <v>114.84537951777777</v>
      </c>
      <c r="J14" s="65">
        <f>SUMIFS('0620 4度C'!$N:$N,'0620 4度C'!$A:$A,"新豐10線",'0620 4度C'!$B:$B,"平均")</f>
        <v>312.69091508042231</v>
      </c>
      <c r="K14" s="66">
        <f>SUMIFS('0620 4度C'!$N:$N,'0620 4度C'!$A:$A,"新豐8線",'0620 4度C'!$B:$B,"平均")</f>
        <v>133.61332498564087</v>
      </c>
      <c r="L14" s="67">
        <f>SUMIFS('0620 4度C'!$N:$N,'0620 4度C'!$A:$A,"新豐9線",'0620 4度C'!$B:$B,"平均")</f>
        <v>118.92264556701564</v>
      </c>
      <c r="M14" s="65">
        <f>SUMIFS('0620 4度C'!$N:$N,'0620 4度C'!$A:$A,"新豐4線",'0620 4度C'!$B:$B,"平均")</f>
        <v>147.05511653724906</v>
      </c>
    </row>
    <row r="15" spans="2:17" ht="40.15" customHeight="1">
      <c r="B15" s="571"/>
      <c r="C15" s="68" t="s">
        <v>1791</v>
      </c>
      <c r="D15" s="69">
        <f t="shared" ref="D15:M15" si="0">D14/D13</f>
        <v>0.95782409528172252</v>
      </c>
      <c r="E15" s="70">
        <f t="shared" si="0"/>
        <v>0.95445175980427788</v>
      </c>
      <c r="F15" s="70">
        <f t="shared" si="0"/>
        <v>0.95752724630990094</v>
      </c>
      <c r="G15" s="70">
        <f t="shared" si="0"/>
        <v>0.95909150509828434</v>
      </c>
      <c r="H15" s="70">
        <f t="shared" si="0"/>
        <v>0.95529264533975478</v>
      </c>
      <c r="I15" s="70">
        <f t="shared" si="0"/>
        <v>0.95977924311285723</v>
      </c>
      <c r="J15" s="71">
        <f t="shared" si="0"/>
        <v>0.96413032149796885</v>
      </c>
      <c r="K15" s="69">
        <f t="shared" si="0"/>
        <v>0.95756216239709302</v>
      </c>
      <c r="L15" s="70">
        <f t="shared" si="0"/>
        <v>0.95562840187780418</v>
      </c>
      <c r="M15" s="71">
        <f t="shared" si="0"/>
        <v>0.95585825749211895</v>
      </c>
    </row>
    <row r="16" spans="2:17" ht="17.25" customHeight="1">
      <c r="B16" s="572" t="s">
        <v>113</v>
      </c>
      <c r="C16" s="72" t="s">
        <v>114</v>
      </c>
      <c r="D16" s="73">
        <f>VLOOKUP("新豐6線",'0620 4度C'!$A:$T,19,0)</f>
        <v>0.70833333333333337</v>
      </c>
      <c r="E16" s="74">
        <f>VLOOKUP("新豐2線",'0620 4度C'!$A:$T,19,0)</f>
        <v>8.3333333333333329E-2</v>
      </c>
      <c r="F16" s="74">
        <f>VLOOKUP("新豐5線",'0620 4度C'!$A:$T,19,0)</f>
        <v>8.3333333333333329E-2</v>
      </c>
      <c r="G16" s="74">
        <f>VLOOKUP("新豐7線",'0620 4度C'!$A:$T,19,0)</f>
        <v>0.20833333333333334</v>
      </c>
      <c r="H16" s="74">
        <f>VLOOKUP("新豐3線",'0620 4度C'!$A:$T,19,0)</f>
        <v>8.3333333333333329E-2</v>
      </c>
      <c r="I16" s="74">
        <f>VLOOKUP("新豐1線",'0620 4度C'!$A:$T,19,0)</f>
        <v>0.16666666666666666</v>
      </c>
      <c r="J16" s="75">
        <f>VLOOKUP("新豐10線",'0620 4度C'!$A:$T,19,0)</f>
        <v>0.20833333333333334</v>
      </c>
      <c r="K16" s="76">
        <f>VLOOKUP("新豐8線",'0620 4度C'!$A:$T,19,0)</f>
        <v>8.3333333333333329E-2</v>
      </c>
      <c r="L16" s="77">
        <f>VLOOKUP("新豐9線",'0620 4度C'!$A:$T,19,0)</f>
        <v>8.3333333333333329E-2</v>
      </c>
      <c r="M16" s="78">
        <f>VLOOKUP("新豐4線",'0620 4度C'!$A:$T,19,0)</f>
        <v>8.3333333333333329E-2</v>
      </c>
    </row>
    <row r="17" spans="2:13" ht="17.25" customHeight="1">
      <c r="B17" s="573"/>
      <c r="C17" s="72" t="s">
        <v>115</v>
      </c>
      <c r="D17" s="76">
        <f>LOOKUP(2,1/(('0620 4度C'!$A:$A="新豐6線")*('0620 4度C'!$T:$T&lt;&gt;"")),'0620 4度C'!$T:$T)</f>
        <v>0.82361111111111107</v>
      </c>
      <c r="E17" s="74">
        <f>LOOKUP(2,1/(('0620 4度C'!$A:$A="新豐2線")*('0620 4度C'!$T:$T&lt;&gt;"")),'0620 4度C'!$T:$T)</f>
        <v>0.42083333333333334</v>
      </c>
      <c r="F17" s="74">
        <f>LOOKUP(2,1/(('0620 4度C'!$A:$A="新豐5線")*('0620 4度C'!$T:$T&lt;&gt;"")),'0620 4度C'!$T:$T)</f>
        <v>0.79722222222222228</v>
      </c>
      <c r="G17" s="74">
        <f>LOOKUP(2,1/(('0620 4度C'!$A:$A="新豐7線")*('0620 4度C'!$T:$T&lt;&gt;"")),'0620 4度C'!$T:$T)</f>
        <v>0.80277777777777781</v>
      </c>
      <c r="H17" s="74">
        <f>LOOKUP(2,1/(('0620 4度C'!$A:$A="新豐3線")*('0620 4度C'!$T:$T&lt;&gt;"")),'0620 4度C'!$T:$T)</f>
        <v>0.30486111111111114</v>
      </c>
      <c r="I17" s="74">
        <f>LOOKUP(2,1/(('0620 4度C'!$A:$A="新豐1線")*('0620 4度C'!$T:$T&lt;&gt;"")),'0620 4度C'!$T:$T)</f>
        <v>0.82847222222222217</v>
      </c>
      <c r="J17" s="75">
        <f>LOOKUP(2,1/(('0620 4度C'!$A:$A="新豐10線")*('0620 4度C'!$T:$T&lt;&gt;"")),'0620 4度C'!$T:$T)</f>
        <v>0.35</v>
      </c>
      <c r="K17" s="73">
        <f>LOOKUP(2,1/(('0620 4度C'!$A:$A="新豐8線")*('0620 4度C'!$T:$T&lt;&gt;"")),'0620 4度C'!$T:$T)</f>
        <v>0.51111111111111107</v>
      </c>
      <c r="L17" s="74">
        <f>LOOKUP(2,1/(('0620 4度C'!$A:$A="新豐9線")*('0620 4度C'!$T:$T&lt;&gt;"")),'0620 4度C'!$T:$T)</f>
        <v>0.51249999999999996</v>
      </c>
      <c r="M17" s="75">
        <f>LOOKUP(2,1/(('0620 4度C'!$A:$A="新豐4線")*('0620 4度C'!$T:$T&lt;&gt;"")),'0620 4度C'!$T:$T)</f>
        <v>0.45347222222222222</v>
      </c>
    </row>
    <row r="18" spans="2:13" ht="17.25" customHeight="1">
      <c r="B18" s="551" t="s">
        <v>116</v>
      </c>
      <c r="C18" s="79" t="s">
        <v>1792</v>
      </c>
      <c r="D18" s="80">
        <f>SUMIFS('0620 4度C'!$Y:$Y,'0620 4度C'!$A:$A,"新豐6線",'0620 4度C'!$B:$B,"平均")</f>
        <v>0</v>
      </c>
      <c r="E18" s="81">
        <f>SUMIFS('0620 4度C'!$Y:$Y,'0620 4度C'!$A:$A,"新豐2線",'0620 4度C'!$B:$B,"平均")</f>
        <v>0</v>
      </c>
      <c r="F18" s="81">
        <f>SUMIFS('0620 4度C'!$Y:$Y,'0620 4度C'!$A:$A,"新豐5線",'0620 4度C'!$B:$B,"平均")</f>
        <v>0</v>
      </c>
      <c r="G18" s="81">
        <f>SUMIFS('0620 4度C'!$Y:$Y,'0620 4度C'!$A:$A,"新豐7線",'0620 4度C'!$B:$B,"平均")</f>
        <v>0</v>
      </c>
      <c r="H18" s="81">
        <f>SUMIFS('0620 4度C'!$Y:$Y,'0620 4度C'!$A:$A,"新豐3線",'0620 4度C'!$B:$B,"平均")</f>
        <v>0</v>
      </c>
      <c r="I18" s="81">
        <f>SUMIFS('0620 4度C'!$Y:$Y,'0620 4度C'!$A:$A,"新豐1線",'0620 4度C'!$B:$B,"平均")</f>
        <v>0</v>
      </c>
      <c r="J18" s="82">
        <f>SUMIFS('0620 4度C'!$Y:$Y,'0620 4度C'!$A:$A,"新豐10線",'0620 4度C'!$B:$B,"平均")</f>
        <v>0</v>
      </c>
      <c r="K18" s="83">
        <f>SUMIFS('0620 4度C'!$Y:$Y,'0620 4度C'!$A:$A,"新豐8線",'0620 4度C'!$B:$B,"平均")</f>
        <v>0</v>
      </c>
      <c r="L18" s="81">
        <f>SUMIFS('0620 4度C'!$Y:$Y,'0620 4度C'!$A:$A,"新豐9線",'0620 4度C'!$B:$B,"平均")</f>
        <v>0</v>
      </c>
      <c r="M18" s="82">
        <f>SUMIFS('0620 4度C'!$Y:$Y,'0620 4度C'!$A:$A,"新豐4線",'0620 4度C'!$B:$B,"平均")</f>
        <v>0</v>
      </c>
    </row>
    <row r="19" spans="2:13" ht="17.25" customHeight="1">
      <c r="B19" s="552"/>
      <c r="C19" s="79" t="s">
        <v>1793</v>
      </c>
      <c r="D19" s="80">
        <f>SUMIFS('0620 4度C'!$Z:$Z,'0620 4度C'!$A:$A,"新豐6線",'0620 4度C'!$B:$B,"平均")</f>
        <v>0</v>
      </c>
      <c r="E19" s="81">
        <f>SUMIFS('0620 4度C'!$Z:$Z,'0620 4度C'!$A:$A,"新豐2線",'0620 4度C'!$B:$B,"平均")</f>
        <v>0</v>
      </c>
      <c r="F19" s="81">
        <f>SUMIFS('0620 4度C'!$Z:$Z,'0620 4度C'!$A:$A,"新豐5線",'0620 4度C'!$B:$B,"平均")</f>
        <v>0</v>
      </c>
      <c r="G19" s="81">
        <f>SUMIFS('0620 4度C'!$Z:$Z,'0620 4度C'!$A:$A,"新豐7線",'0620 4度C'!$B:$B,"平均")</f>
        <v>0</v>
      </c>
      <c r="H19" s="81">
        <f>SUMIFS('0620 4度C'!$Z:$Z,'0620 4度C'!$A:$A,"新豐3線",'0620 4度C'!$B:$B,"平均")</f>
        <v>0</v>
      </c>
      <c r="I19" s="81">
        <f>SUMIFS('0620 4度C'!$Z:$Z,'0620 4度C'!$A:$A,"新豐1線",'0620 4度C'!$B:$B,"平均")</f>
        <v>0</v>
      </c>
      <c r="J19" s="82">
        <f>SUMIFS('0620 4度C'!$Z:$Z,'0620 4度C'!$A:$A,"新豐10線",'0620 4度C'!$B:$B,"平均")</f>
        <v>0</v>
      </c>
      <c r="K19" s="83">
        <f>SUMIFS('0620 4度C'!$Z:$Z,'0620 4度C'!$A:$A,"新豐8線",'0620 4度C'!$B:$B,"平均")</f>
        <v>0</v>
      </c>
      <c r="L19" s="81">
        <f>SUMIFS('0620 4度C'!$Z:$Z,'0620 4度C'!$A:$A,"新豐9線",'0620 4度C'!$B:$B,"平均")</f>
        <v>0</v>
      </c>
      <c r="M19" s="82">
        <f>SUMIFS('0620 4度C'!$Z:$Z,'0620 4度C'!$A:$A,"新豐4線",'0620 4度C'!$B:$B,"平均")</f>
        <v>0</v>
      </c>
    </row>
    <row r="20" spans="2:13" ht="17.25" customHeight="1">
      <c r="B20" s="551" t="s">
        <v>1794</v>
      </c>
      <c r="C20" s="79" t="s">
        <v>1792</v>
      </c>
      <c r="D20" s="80">
        <f>SUMIFS('0620 4度C'!$AC:$AC,'0620 4度C'!$A:$A,"新豐6線",'0620 4度C'!$B:$B,"平均")</f>
        <v>3</v>
      </c>
      <c r="E20" s="81">
        <f>SUMIFS('0620 4度C'!$AC:$AC,'0620 4度C'!$A:$A,"新豐2線",'0620 4度C'!$B:$B,"平均")</f>
        <v>3</v>
      </c>
      <c r="F20" s="81">
        <f>SUMIFS('0620 4度C'!$AC:$AC,'0620 4度C'!$A:$A,"新豐5線",'0620 4度C'!$B:$B,"平均")</f>
        <v>7</v>
      </c>
      <c r="G20" s="81">
        <f>SUMIFS('0620 4度C'!$AC:$AC,'0620 4度C'!$A:$A,"新豐7線",'0620 4度C'!$B:$B,"平均")</f>
        <v>7</v>
      </c>
      <c r="H20" s="81">
        <f>SUMIFS('0620 4度C'!$AC:$AC,'0620 4度C'!$A:$A,"新豐3線",'0620 4度C'!$B:$B,"平均")</f>
        <v>4</v>
      </c>
      <c r="I20" s="81">
        <f>SUMIFS('0620 4度C'!$AC:$AC,'0620 4度C'!$A:$A,"新豐1線",'0620 4度C'!$B:$B,"平均")</f>
        <v>7</v>
      </c>
      <c r="J20" s="82">
        <f>SUMIFS('0620 4度C'!$AC:$AC,'0620 4度C'!$A:$A,"新豐10線",'0620 4度C'!$B:$B,"平均")</f>
        <v>4</v>
      </c>
      <c r="K20" s="83">
        <f>SUMIFS('0620 4度C'!$AC:$AC,'0620 4度C'!$A:$A,"新豐8線",'0620 4度C'!$B:$B,"平均")</f>
        <v>5</v>
      </c>
      <c r="L20" s="81">
        <f>SUMIFS('0620 4度C'!$AC:$AC,'0620 4度C'!$A:$A,"新豐9線",'0620 4度C'!$B:$B,"平均")</f>
        <v>5</v>
      </c>
      <c r="M20" s="82">
        <f>SUMIFS('0620 4度C'!$AC:$AC,'0620 4度C'!$A:$A,"新豐4線",'0620 4度C'!$B:$B,"平均")</f>
        <v>5</v>
      </c>
    </row>
    <row r="21" spans="2:13" ht="17.25" customHeight="1">
      <c r="B21" s="552"/>
      <c r="C21" s="79" t="s">
        <v>1795</v>
      </c>
      <c r="D21" s="80">
        <f>SUMIFS('0620 4度C'!$AD:$AD,'0620 4度C'!$A:$A,"新豐6線",'0620 4度C'!$B:$B,"平均")</f>
        <v>0</v>
      </c>
      <c r="E21" s="81">
        <f>SUMIFS('0620 4度C'!$AD:$AD,'0620 4度C'!$A:$A,"新豐2線",'0620 4度C'!$B:$B,"平均")</f>
        <v>0</v>
      </c>
      <c r="F21" s="81">
        <f>SUMIFS('0620 4度C'!$AD:$AD,'0620 4度C'!$A:$A,"新豐5線",'0620 4度C'!$B:$B,"平均")</f>
        <v>0</v>
      </c>
      <c r="G21" s="81">
        <f>SUMIFS('0620 4度C'!$AD:$AD,'0620 4度C'!$A:$A,"新豐7線",'0620 4度C'!$B:$B,"平均")</f>
        <v>0</v>
      </c>
      <c r="H21" s="81">
        <f>SUMIFS('0620 4度C'!$AD:$AD,'0620 4度C'!$A:$A,"新豐3線",'0620 4度C'!$B:$B,"平均")</f>
        <v>0</v>
      </c>
      <c r="I21" s="81">
        <f>SUMIFS('0620 4度C'!$AD:$AD,'0620 4度C'!$A:$A,"新豐1線",'0620 4度C'!$B:$B,"平均")</f>
        <v>0</v>
      </c>
      <c r="J21" s="82">
        <f>SUMIFS('0620 4度C'!$AD:$AD,'0620 4度C'!$A:$A,"新豐10線",'0620 4度C'!$B:$B,"平均")</f>
        <v>0</v>
      </c>
      <c r="K21" s="83">
        <f>SUMIFS('0620 4度C'!$AD:$AD,'0620 4度C'!$A:$A,"新豐8線",'0620 4度C'!$B:$B,"平均")</f>
        <v>0</v>
      </c>
      <c r="L21" s="81">
        <f>SUMIFS('0620 4度C'!$AD:$AD,'0620 4度C'!$A:$A,"新豐9線",'0620 4度C'!$B:$B,"平均")</f>
        <v>0</v>
      </c>
      <c r="M21" s="82">
        <f>SUMIFS('0620 4度C'!$AD:$AD,'0620 4度C'!$A:$A,"新豐4線",'0620 4度C'!$B:$B,"平均")</f>
        <v>0</v>
      </c>
    </row>
    <row r="22" spans="2:13" ht="17.25" customHeight="1">
      <c r="B22" s="553" t="s">
        <v>1796</v>
      </c>
      <c r="C22" s="554"/>
      <c r="D22" s="84">
        <f>SUMIFS('0620 4度C'!$I:$I,'0620 4度C'!$A:$A,"新豐6線",'0620 4度C'!$B:$B,"平均")</f>
        <v>15.333333333333334</v>
      </c>
      <c r="E22" s="85">
        <f>SUMIFS('0620 4度C'!$I:$I,'0620 4度C'!$A:$A,"新豐2線",'0620 4度C'!$B:$B,"平均")</f>
        <v>17.333333333333332</v>
      </c>
      <c r="F22" s="85">
        <f>SUMIFS('0620 4度C'!$I:$I,'0620 4度C'!$A:$A,"新豐5線",'0620 4度C'!$B:$B,"平均")</f>
        <v>18.714285714285715</v>
      </c>
      <c r="G22" s="85">
        <f>SUMIFS('0620 4度C'!$I:$I,'0620 4度C'!$A:$A,"新豐7線",'0620 4度C'!$B:$B,"平均")</f>
        <v>16.714285714285715</v>
      </c>
      <c r="H22" s="85">
        <f>SUMIFS('0620 4度C'!$I:$I,'0620 4度C'!$A:$A,"新豐3線",'0620 4度C'!$B:$B,"平均")</f>
        <v>10.75</v>
      </c>
      <c r="I22" s="85">
        <f>SUMIFS('0620 4度C'!$I:$I,'0620 4度C'!$A:$A,"新豐1線",'0620 4度C'!$B:$B,"平均")</f>
        <v>16.714285714285715</v>
      </c>
      <c r="J22" s="86">
        <f>SUMIFS('0620 4度C'!$I:$I,'0620 4度C'!$A:$A,"新豐10線",'0620 4度C'!$B:$B,"平均")</f>
        <v>9.25</v>
      </c>
      <c r="K22" s="84">
        <f>SUMIFS('0620 4度C'!$I:$I,'0620 4度C'!$A:$A,"新豐8線",'0620 4度C'!$B:$B,"平均")</f>
        <v>17.2</v>
      </c>
      <c r="L22" s="85">
        <f>SUMIFS('0620 4度C'!$I:$I,'0620 4度C'!$A:$A,"新豐9線",'0620 4度C'!$B:$B,"平均")</f>
        <v>18</v>
      </c>
      <c r="M22" s="86">
        <f>SUMIFS('0620 4度C'!$I:$I,'0620 4度C'!$A:$A,"新豐4線",'0620 4度C'!$B:$B,"平均")</f>
        <v>15.6</v>
      </c>
    </row>
    <row r="23" spans="2:13" ht="17.25" customHeight="1">
      <c r="B23" s="553" t="s">
        <v>1797</v>
      </c>
      <c r="C23" s="554"/>
      <c r="D23" s="87" t="s">
        <v>71</v>
      </c>
      <c r="E23" s="88" t="s">
        <v>72</v>
      </c>
      <c r="F23" s="88" t="s">
        <v>217</v>
      </c>
      <c r="G23" s="88" t="s">
        <v>1798</v>
      </c>
      <c r="H23" s="88" t="s">
        <v>73</v>
      </c>
      <c r="I23" s="88" t="s">
        <v>71</v>
      </c>
      <c r="J23" s="89" t="s">
        <v>73</v>
      </c>
      <c r="K23" s="87" t="s">
        <v>124</v>
      </c>
      <c r="L23" s="88" t="s">
        <v>1799</v>
      </c>
      <c r="M23" s="89" t="s">
        <v>124</v>
      </c>
    </row>
    <row r="24" spans="2:13" ht="17.25" customHeight="1">
      <c r="B24" s="553" t="s">
        <v>1800</v>
      </c>
      <c r="C24" s="554"/>
      <c r="D24" s="87"/>
      <c r="E24" s="88"/>
      <c r="F24" s="88" t="s">
        <v>1801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127</v>
      </c>
      <c r="C25" s="556"/>
      <c r="D25" s="90"/>
      <c r="E25" s="91" t="s">
        <v>128</v>
      </c>
      <c r="F25" s="549" t="s">
        <v>1802</v>
      </c>
      <c r="G25" s="550"/>
      <c r="H25" s="91" t="s">
        <v>1803</v>
      </c>
      <c r="I25" s="91" t="s">
        <v>131</v>
      </c>
      <c r="J25" s="92" t="s">
        <v>1804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0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activeCell="F16" sqref="F16"/>
      <selection pane="bottomLeft" activeCell="F16" sqref="F1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1805</v>
      </c>
      <c r="B1" s="1"/>
      <c r="C1" s="2" t="s">
        <v>325</v>
      </c>
      <c r="D1" s="3">
        <f>SUM(F5:F64)</f>
        <v>134233</v>
      </c>
      <c r="E1" s="385" t="s">
        <v>1806</v>
      </c>
      <c r="F1" s="1">
        <f>SUM(G5:G64)</f>
        <v>4690224.9499999983</v>
      </c>
      <c r="G1" s="1" t="s">
        <v>135</v>
      </c>
      <c r="H1" s="4">
        <f>L8+L12+L45+L53+L20+L58+L34+L40+L28+L64</f>
        <v>155.60952380952381</v>
      </c>
      <c r="I1" s="663" t="s">
        <v>1807</v>
      </c>
      <c r="J1" s="663"/>
      <c r="K1" s="663"/>
      <c r="L1" s="663" t="s">
        <v>137</v>
      </c>
      <c r="M1" s="663"/>
      <c r="N1" s="663"/>
      <c r="O1" s="663" t="s">
        <v>1808</v>
      </c>
      <c r="P1" s="663"/>
      <c r="Q1" s="663"/>
      <c r="R1" s="663"/>
      <c r="S1" s="663" t="s">
        <v>1809</v>
      </c>
      <c r="T1" s="663"/>
      <c r="U1" s="663"/>
      <c r="V1" s="663"/>
      <c r="W1" s="663"/>
      <c r="X1" s="663"/>
      <c r="Y1" s="5" t="s">
        <v>140</v>
      </c>
      <c r="Z1" s="6" t="s">
        <v>141</v>
      </c>
      <c r="AA1" s="664" t="s">
        <v>1810</v>
      </c>
      <c r="AB1" s="664"/>
      <c r="AC1" s="188" t="s">
        <v>140</v>
      </c>
      <c r="AD1" s="6" t="s">
        <v>335</v>
      </c>
      <c r="AE1" s="663" t="s">
        <v>237</v>
      </c>
      <c r="AF1" s="665"/>
      <c r="AG1" s="665"/>
    </row>
    <row r="2" spans="1:33" ht="26.25" customHeight="1">
      <c r="A2" s="27">
        <v>46193</v>
      </c>
      <c r="B2" s="28" t="s">
        <v>629</v>
      </c>
      <c r="C2" s="2" t="s">
        <v>109</v>
      </c>
      <c r="D2" s="8">
        <f>AVERAGE(N8,N12,N45,N53,N20,N58,N28,N34,N40,N64)</f>
        <v>147.37570743799157</v>
      </c>
      <c r="E2" s="9" t="s">
        <v>0</v>
      </c>
      <c r="F2" s="10">
        <f>F1/D1</f>
        <v>34.940923245401642</v>
      </c>
      <c r="G2" s="1" t="s">
        <v>240</v>
      </c>
      <c r="H2" s="397">
        <f>COUNT(H5:H64)</f>
        <v>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SUM(Y8+Y12+Y20+Y28+Y34+Y40+Y45+Y53+Y58+Y64)</f>
        <v>0</v>
      </c>
      <c r="Z2" s="11">
        <f>SUM(Z8+Z12+Z20+Z28+Z34+Z40+Z45+Z53+Z58+Z64)</f>
        <v>0</v>
      </c>
      <c r="AA2" s="664"/>
      <c r="AB2" s="664"/>
      <c r="AC2" s="11">
        <v>50</v>
      </c>
      <c r="AD2" s="11">
        <f>SUM(AD8+AD12+AD20+AD28+AD34+AD40+AD45+AD53+AD58+AD64)</f>
        <v>0</v>
      </c>
      <c r="AE2" s="665"/>
      <c r="AF2" s="665"/>
      <c r="AG2" s="665"/>
    </row>
    <row r="3" spans="1:33" ht="40.5" customHeight="1">
      <c r="A3" s="617" t="s">
        <v>1811</v>
      </c>
      <c r="B3" s="617" t="s">
        <v>1812</v>
      </c>
      <c r="C3" s="617" t="s">
        <v>1813</v>
      </c>
      <c r="D3" s="617"/>
      <c r="E3" s="661" t="s">
        <v>1814</v>
      </c>
      <c r="F3" s="617" t="s">
        <v>151</v>
      </c>
      <c r="G3" s="661" t="s">
        <v>152</v>
      </c>
      <c r="H3" s="654" t="s">
        <v>1815</v>
      </c>
      <c r="I3" s="652" t="s">
        <v>1816</v>
      </c>
      <c r="J3" s="649" t="s">
        <v>1817</v>
      </c>
      <c r="K3" s="659" t="s">
        <v>109</v>
      </c>
      <c r="L3" s="652" t="s">
        <v>1816</v>
      </c>
      <c r="M3" s="649" t="s">
        <v>1817</v>
      </c>
      <c r="N3" s="659" t="s">
        <v>1818</v>
      </c>
      <c r="O3" s="652" t="s">
        <v>154</v>
      </c>
      <c r="P3" s="659" t="s">
        <v>109</v>
      </c>
      <c r="Q3" s="650" t="s">
        <v>156</v>
      </c>
      <c r="R3" s="630" t="s">
        <v>1819</v>
      </c>
      <c r="S3" s="660" t="s">
        <v>1</v>
      </c>
      <c r="T3" s="660"/>
      <c r="U3" s="654" t="s">
        <v>2</v>
      </c>
      <c r="V3" s="654" t="s">
        <v>158</v>
      </c>
      <c r="W3" s="617" t="s">
        <v>159</v>
      </c>
      <c r="X3" s="617"/>
      <c r="Y3" s="655" t="s">
        <v>160</v>
      </c>
      <c r="Z3" s="614"/>
      <c r="AA3" s="656" t="s">
        <v>1820</v>
      </c>
      <c r="AB3" s="657"/>
      <c r="AC3" s="655" t="s">
        <v>162</v>
      </c>
      <c r="AD3" s="614"/>
      <c r="AE3" s="649" t="s">
        <v>1817</v>
      </c>
      <c r="AF3" s="650" t="s">
        <v>1821</v>
      </c>
      <c r="AG3" s="630" t="s">
        <v>157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398" t="s">
        <v>3</v>
      </c>
      <c r="T4" s="398" t="s">
        <v>4</v>
      </c>
      <c r="U4" s="654"/>
      <c r="V4" s="654"/>
      <c r="W4" s="385" t="s">
        <v>1822</v>
      </c>
      <c r="X4" s="385" t="s">
        <v>1823</v>
      </c>
      <c r="Y4" s="388" t="s">
        <v>1824</v>
      </c>
      <c r="Z4" s="388" t="s">
        <v>118</v>
      </c>
      <c r="AA4" s="658"/>
      <c r="AB4" s="657"/>
      <c r="AC4" s="388" t="s">
        <v>1825</v>
      </c>
      <c r="AD4" s="388" t="s">
        <v>171</v>
      </c>
      <c r="AE4" s="649"/>
      <c r="AF4" s="650"/>
      <c r="AG4" s="630"/>
    </row>
    <row r="5" spans="1:33">
      <c r="A5" s="651" t="s">
        <v>1826</v>
      </c>
      <c r="B5" s="29" t="s">
        <v>15</v>
      </c>
      <c r="C5" s="653" t="s">
        <v>17</v>
      </c>
      <c r="D5" s="653"/>
      <c r="E5" s="29">
        <v>50.67</v>
      </c>
      <c r="F5" s="398">
        <v>1191</v>
      </c>
      <c r="G5" s="385">
        <f t="shared" ref="G5:G7" si="0">E5*F5</f>
        <v>60347.97</v>
      </c>
      <c r="H5" s="33" t="s">
        <v>57</v>
      </c>
      <c r="I5" s="395">
        <v>15</v>
      </c>
      <c r="J5" s="31">
        <v>2000</v>
      </c>
      <c r="K5" s="12">
        <f t="shared" ref="K5:K64" si="1">J5/I5</f>
        <v>133.33333333333334</v>
      </c>
      <c r="L5" s="395">
        <v>15</v>
      </c>
      <c r="M5" s="13">
        <f t="shared" ref="M5:M7" si="2">F5/V5*60</f>
        <v>1931.3513513513499</v>
      </c>
      <c r="N5" s="12">
        <f t="shared" ref="N5:N64" si="3">M5/L5</f>
        <v>128.75675675675666</v>
      </c>
      <c r="O5" s="14">
        <f t="shared" ref="O5:O64" si="4">L5-I5</f>
        <v>0</v>
      </c>
      <c r="P5" s="15">
        <f t="shared" ref="P5:P64" si="5">N5-K5</f>
        <v>-4.5765765765766844</v>
      </c>
      <c r="Q5" s="384">
        <f t="shared" ref="Q5:Q64" si="6">N5/K5</f>
        <v>0.96567567567567492</v>
      </c>
      <c r="R5" s="615">
        <f>Q8</f>
        <v>0.95782409528172252</v>
      </c>
      <c r="S5" s="34">
        <v>0.70833333333333337</v>
      </c>
      <c r="T5" s="34">
        <v>0.73402777777777783</v>
      </c>
      <c r="U5" s="385"/>
      <c r="V5" s="396">
        <f t="shared" ref="V5:V7" si="7">(T5-S5)*24*60</f>
        <v>37.000000000000028</v>
      </c>
      <c r="W5" s="16"/>
      <c r="X5" s="17"/>
      <c r="Y5" s="17"/>
      <c r="Z5" s="17"/>
      <c r="AA5" s="617"/>
      <c r="AB5" s="617"/>
      <c r="AC5" s="18">
        <v>3</v>
      </c>
      <c r="AD5" s="18"/>
      <c r="AE5" s="14">
        <f t="shared" ref="AE5:AE52" si="8">M5-J5</f>
        <v>-68.648648648650124</v>
      </c>
      <c r="AF5" s="384">
        <f t="shared" ref="AF5:AF64" si="9">M5/J5</f>
        <v>0.96567567567567492</v>
      </c>
      <c r="AG5" s="615">
        <f>AF8</f>
        <v>0.95782409528172263</v>
      </c>
    </row>
    <row r="6" spans="1:33">
      <c r="A6" s="652" t="s">
        <v>1827</v>
      </c>
      <c r="B6" s="29" t="s">
        <v>15</v>
      </c>
      <c r="C6" s="653" t="s">
        <v>26</v>
      </c>
      <c r="D6" s="653"/>
      <c r="E6" s="29">
        <v>50.92</v>
      </c>
      <c r="F6" s="398">
        <v>1872</v>
      </c>
      <c r="G6" s="385">
        <f t="shared" si="0"/>
        <v>95322.240000000005</v>
      </c>
      <c r="H6" s="33" t="s">
        <v>57</v>
      </c>
      <c r="I6" s="395">
        <v>15</v>
      </c>
      <c r="J6" s="31">
        <v>2000</v>
      </c>
      <c r="K6" s="12">
        <f t="shared" si="1"/>
        <v>133.33333333333334</v>
      </c>
      <c r="L6" s="395">
        <v>15</v>
      </c>
      <c r="M6" s="13">
        <f t="shared" si="2"/>
        <v>1903.7288135593235</v>
      </c>
      <c r="N6" s="12">
        <f t="shared" si="3"/>
        <v>126.91525423728824</v>
      </c>
      <c r="O6" s="14">
        <f t="shared" si="4"/>
        <v>0</v>
      </c>
      <c r="P6" s="15">
        <f t="shared" si="5"/>
        <v>-6.4180790960451048</v>
      </c>
      <c r="Q6" s="384">
        <f t="shared" si="6"/>
        <v>0.95186440677966166</v>
      </c>
      <c r="R6" s="615"/>
      <c r="S6" s="34">
        <v>0.73750000000000004</v>
      </c>
      <c r="T6" s="34">
        <v>0.77847222222222223</v>
      </c>
      <c r="U6" s="385">
        <f t="shared" ref="U6:U7" si="10">IF(S6=TIME(17,0,0),"",(S6-T5)*24*60)</f>
        <v>4.9999999999999822</v>
      </c>
      <c r="V6" s="396">
        <f t="shared" si="7"/>
        <v>58.99999999999995</v>
      </c>
      <c r="W6" s="16"/>
      <c r="X6" s="16"/>
      <c r="Y6" s="16"/>
      <c r="Z6" s="16"/>
      <c r="AA6" s="617"/>
      <c r="AB6" s="617"/>
      <c r="AC6" s="18"/>
      <c r="AD6" s="18"/>
      <c r="AE6" s="14">
        <f t="shared" si="8"/>
        <v>-96.271186440676502</v>
      </c>
      <c r="AF6" s="384">
        <f t="shared" si="9"/>
        <v>0.95186440677966178</v>
      </c>
      <c r="AG6" s="615"/>
    </row>
    <row r="7" spans="1:33">
      <c r="A7" s="652" t="s">
        <v>1827</v>
      </c>
      <c r="B7" s="29" t="s">
        <v>15</v>
      </c>
      <c r="C7" s="644" t="s">
        <v>31</v>
      </c>
      <c r="D7" s="645"/>
      <c r="E7" s="29">
        <v>50.98</v>
      </c>
      <c r="F7" s="398">
        <v>1880</v>
      </c>
      <c r="G7" s="385">
        <f t="shared" si="0"/>
        <v>95842.4</v>
      </c>
      <c r="H7" s="33" t="s">
        <v>57</v>
      </c>
      <c r="I7" s="395">
        <v>16</v>
      </c>
      <c r="J7" s="31">
        <v>2000</v>
      </c>
      <c r="K7" s="12">
        <f t="shared" si="1"/>
        <v>125</v>
      </c>
      <c r="L7" s="395">
        <v>16</v>
      </c>
      <c r="M7" s="13">
        <f t="shared" si="2"/>
        <v>1911.8644067796624</v>
      </c>
      <c r="N7" s="12">
        <f t="shared" si="3"/>
        <v>119.4915254237289</v>
      </c>
      <c r="O7" s="14">
        <f t="shared" si="4"/>
        <v>0</v>
      </c>
      <c r="P7" s="15">
        <f t="shared" si="5"/>
        <v>-5.508474576271098</v>
      </c>
      <c r="Q7" s="384">
        <f t="shared" si="6"/>
        <v>0.9559322033898312</v>
      </c>
      <c r="R7" s="615"/>
      <c r="S7" s="34">
        <v>0.78263888888888888</v>
      </c>
      <c r="T7" s="34">
        <v>0.82361111111111107</v>
      </c>
      <c r="U7" s="385">
        <f t="shared" si="10"/>
        <v>5.9999999999999787</v>
      </c>
      <c r="V7" s="396">
        <f t="shared" si="7"/>
        <v>58.99999999999995</v>
      </c>
      <c r="W7" s="16"/>
      <c r="X7" s="16"/>
      <c r="Y7" s="19"/>
      <c r="Z7" s="19"/>
      <c r="AA7" s="624"/>
      <c r="AB7" s="625"/>
      <c r="AC7" s="20"/>
      <c r="AD7" s="20"/>
      <c r="AE7" s="14">
        <f t="shared" si="8"/>
        <v>-88.135593220337569</v>
      </c>
      <c r="AF7" s="384">
        <f t="shared" si="9"/>
        <v>0.9559322033898312</v>
      </c>
      <c r="AG7" s="615"/>
    </row>
    <row r="8" spans="1:33">
      <c r="A8" s="652" t="s">
        <v>1827</v>
      </c>
      <c r="B8" s="29" t="s">
        <v>1828</v>
      </c>
      <c r="C8" s="618"/>
      <c r="D8" s="618"/>
      <c r="E8" s="387"/>
      <c r="F8" s="30"/>
      <c r="G8" s="12"/>
      <c r="H8" s="398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1915.6481905634453</v>
      </c>
      <c r="N8" s="12">
        <f t="shared" si="3"/>
        <v>124.93357764544207</v>
      </c>
      <c r="O8" s="14">
        <f t="shared" si="4"/>
        <v>0</v>
      </c>
      <c r="P8" s="15">
        <f t="shared" si="5"/>
        <v>-5.5012049632535849</v>
      </c>
      <c r="Q8" s="384">
        <f t="shared" si="6"/>
        <v>0.95782409528172252</v>
      </c>
      <c r="R8" s="615"/>
      <c r="S8" s="34"/>
      <c r="T8" s="34"/>
      <c r="U8" s="385"/>
      <c r="V8" s="396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-84.351809436554731</v>
      </c>
      <c r="AF8" s="384">
        <f t="shared" si="9"/>
        <v>0.95782409528172263</v>
      </c>
      <c r="AG8" s="615"/>
    </row>
    <row r="9" spans="1:33" ht="15.75" customHeight="1">
      <c r="A9" s="648" t="s">
        <v>1829</v>
      </c>
      <c r="B9" s="29" t="s">
        <v>19</v>
      </c>
      <c r="C9" s="644" t="s">
        <v>20</v>
      </c>
      <c r="D9" s="645"/>
      <c r="E9" s="29">
        <v>39.619999999999997</v>
      </c>
      <c r="F9" s="398">
        <v>3151</v>
      </c>
      <c r="G9" s="385">
        <f t="shared" ref="G9:G11" si="11">E9*F9</f>
        <v>124842.62</v>
      </c>
      <c r="H9" s="33" t="s">
        <v>57</v>
      </c>
      <c r="I9" s="395">
        <v>19</v>
      </c>
      <c r="J9" s="31">
        <v>1500</v>
      </c>
      <c r="K9" s="12">
        <f t="shared" si="1"/>
        <v>78.94736842105263</v>
      </c>
      <c r="L9" s="395">
        <v>19</v>
      </c>
      <c r="M9" s="13">
        <f t="shared" ref="M9:M11" si="12">F9/V9*60</f>
        <v>1432.2727272727275</v>
      </c>
      <c r="N9" s="12">
        <f t="shared" si="3"/>
        <v>75.382775119617236</v>
      </c>
      <c r="O9" s="14">
        <f t="shared" si="4"/>
        <v>0</v>
      </c>
      <c r="P9" s="15">
        <f t="shared" si="5"/>
        <v>-3.5645933014353943</v>
      </c>
      <c r="Q9" s="384">
        <f t="shared" si="6"/>
        <v>0.95484848484848506</v>
      </c>
      <c r="R9" s="615">
        <f>Q12</f>
        <v>0.95445175980427788</v>
      </c>
      <c r="S9" s="34">
        <v>8.3333333333333329E-2</v>
      </c>
      <c r="T9" s="34">
        <v>0.17499999999999999</v>
      </c>
      <c r="U9" s="385"/>
      <c r="V9" s="396">
        <f t="shared" ref="V9:V11" si="13">(T9-S9)*24*60</f>
        <v>131.99999999999997</v>
      </c>
      <c r="W9" s="16">
        <f>T9</f>
        <v>0.17499999999999999</v>
      </c>
      <c r="X9" s="16">
        <f>S10</f>
        <v>0.19513888888888889</v>
      </c>
      <c r="Y9" s="16"/>
      <c r="Z9" s="16"/>
      <c r="AA9" s="617"/>
      <c r="AB9" s="617"/>
      <c r="AC9" s="18">
        <v>3</v>
      </c>
      <c r="AD9" s="18"/>
      <c r="AE9" s="14">
        <f t="shared" si="8"/>
        <v>-67.727272727272521</v>
      </c>
      <c r="AF9" s="384">
        <f t="shared" si="9"/>
        <v>0.95484848484848495</v>
      </c>
      <c r="AG9" s="615">
        <f>AF12</f>
        <v>0.95445175980427788</v>
      </c>
    </row>
    <row r="10" spans="1:33" ht="15.75" customHeight="1">
      <c r="A10" s="648" t="s">
        <v>1830</v>
      </c>
      <c r="B10" s="29" t="s">
        <v>19</v>
      </c>
      <c r="C10" s="644" t="s">
        <v>83</v>
      </c>
      <c r="D10" s="645"/>
      <c r="E10" s="29">
        <v>39.46</v>
      </c>
      <c r="F10" s="398">
        <v>3320</v>
      </c>
      <c r="G10" s="385">
        <f t="shared" si="11"/>
        <v>131007.2</v>
      </c>
      <c r="H10" s="33" t="s">
        <v>57</v>
      </c>
      <c r="I10" s="395">
        <v>16</v>
      </c>
      <c r="J10" s="31">
        <v>1500</v>
      </c>
      <c r="K10" s="12">
        <f t="shared" si="1"/>
        <v>93.75</v>
      </c>
      <c r="L10" s="395">
        <v>16</v>
      </c>
      <c r="M10" s="13">
        <f t="shared" si="12"/>
        <v>1433.0935251798558</v>
      </c>
      <c r="N10" s="12">
        <f t="shared" si="3"/>
        <v>89.568345323740985</v>
      </c>
      <c r="O10" s="14">
        <f t="shared" si="4"/>
        <v>0</v>
      </c>
      <c r="P10" s="15">
        <f t="shared" si="5"/>
        <v>-4.181654676259015</v>
      </c>
      <c r="Q10" s="384">
        <f t="shared" si="6"/>
        <v>0.95539568345323722</v>
      </c>
      <c r="R10" s="615"/>
      <c r="S10" s="34">
        <v>0.19513888888888889</v>
      </c>
      <c r="T10" s="34">
        <v>0.29166666666666669</v>
      </c>
      <c r="U10" s="385">
        <f t="shared" ref="U10:U11" si="14">IF(S10=TIME(17,0,0),"",(S10-T9)*24*60)</f>
        <v>29.000000000000018</v>
      </c>
      <c r="V10" s="396">
        <f t="shared" si="13"/>
        <v>139.00000000000003</v>
      </c>
      <c r="W10" s="16"/>
      <c r="X10" s="16"/>
      <c r="Y10" s="16"/>
      <c r="Z10" s="16"/>
      <c r="AA10" s="617"/>
      <c r="AB10" s="617"/>
      <c r="AC10" s="18"/>
      <c r="AD10" s="18"/>
      <c r="AE10" s="14">
        <f t="shared" si="8"/>
        <v>-66.90647482014424</v>
      </c>
      <c r="AF10" s="384">
        <f t="shared" si="9"/>
        <v>0.95539568345323722</v>
      </c>
      <c r="AG10" s="615"/>
    </row>
    <row r="11" spans="1:33" ht="15.75" customHeight="1">
      <c r="A11" s="648" t="s">
        <v>7</v>
      </c>
      <c r="B11" s="29" t="s">
        <v>19</v>
      </c>
      <c r="C11" s="644" t="s">
        <v>21</v>
      </c>
      <c r="D11" s="645"/>
      <c r="E11" s="29">
        <v>39.799999999999997</v>
      </c>
      <c r="F11" s="398">
        <v>4289</v>
      </c>
      <c r="G11" s="385">
        <f t="shared" si="11"/>
        <v>170702.19999999998</v>
      </c>
      <c r="H11" s="33" t="s">
        <v>57</v>
      </c>
      <c r="I11" s="395">
        <v>17</v>
      </c>
      <c r="J11" s="31">
        <v>1500</v>
      </c>
      <c r="K11" s="12">
        <f t="shared" si="1"/>
        <v>88.235294117647058</v>
      </c>
      <c r="L11" s="395">
        <v>17</v>
      </c>
      <c r="M11" s="13">
        <f t="shared" si="12"/>
        <v>1429.6666666666667</v>
      </c>
      <c r="N11" s="12">
        <f t="shared" si="3"/>
        <v>84.098039215686285</v>
      </c>
      <c r="O11" s="14">
        <f t="shared" si="4"/>
        <v>0</v>
      </c>
      <c r="P11" s="15">
        <f t="shared" si="5"/>
        <v>-4.1372549019607732</v>
      </c>
      <c r="Q11" s="384">
        <f t="shared" si="6"/>
        <v>0.95311111111111124</v>
      </c>
      <c r="R11" s="615"/>
      <c r="S11" s="34">
        <v>0.29583333333333334</v>
      </c>
      <c r="T11" s="34">
        <v>0.42083333333333334</v>
      </c>
      <c r="U11" s="385">
        <f t="shared" si="14"/>
        <v>5.9999999999999787</v>
      </c>
      <c r="V11" s="396">
        <f t="shared" si="13"/>
        <v>180</v>
      </c>
      <c r="W11" s="16"/>
      <c r="X11" s="16"/>
      <c r="Y11" s="16"/>
      <c r="Z11" s="16"/>
      <c r="AA11" s="617"/>
      <c r="AB11" s="617"/>
      <c r="AC11" s="18"/>
      <c r="AD11" s="18"/>
      <c r="AE11" s="14">
        <f t="shared" si="8"/>
        <v>-70.333333333333258</v>
      </c>
      <c r="AF11" s="384">
        <f t="shared" si="9"/>
        <v>0.95311111111111113</v>
      </c>
      <c r="AG11" s="615"/>
    </row>
    <row r="12" spans="1:33" ht="16.5" customHeight="1">
      <c r="A12" s="648" t="s">
        <v>1829</v>
      </c>
      <c r="B12" s="29" t="s">
        <v>175</v>
      </c>
      <c r="C12" s="618"/>
      <c r="D12" s="618"/>
      <c r="E12" s="387"/>
      <c r="F12" s="31"/>
      <c r="G12" s="13"/>
      <c r="H12" s="398"/>
      <c r="I12" s="23">
        <v>17.333333333333332</v>
      </c>
      <c r="J12" s="31">
        <v>1500</v>
      </c>
      <c r="K12" s="12">
        <f t="shared" si="1"/>
        <v>86.538461538461547</v>
      </c>
      <c r="L12" s="23">
        <v>17.333333333333332</v>
      </c>
      <c r="M12" s="13">
        <f>AVERAGE(M9:M11)</f>
        <v>1431.6776397064168</v>
      </c>
      <c r="N12" s="12">
        <f t="shared" si="3"/>
        <v>82.596786906139442</v>
      </c>
      <c r="O12" s="14">
        <f t="shared" si="4"/>
        <v>0</v>
      </c>
      <c r="P12" s="15">
        <f t="shared" si="5"/>
        <v>-3.9416746323221048</v>
      </c>
      <c r="Q12" s="384">
        <f t="shared" si="6"/>
        <v>0.95445175980427788</v>
      </c>
      <c r="R12" s="615"/>
      <c r="S12" s="34"/>
      <c r="T12" s="34"/>
      <c r="U12" s="12"/>
      <c r="V12" s="396"/>
      <c r="W12" s="12"/>
      <c r="X12" s="12"/>
      <c r="Y12" s="24">
        <f>SUM(Y9:Y11)</f>
        <v>0</v>
      </c>
      <c r="Z12" s="24">
        <f>SUM(Z9:Z11)</f>
        <v>0</v>
      </c>
      <c r="AA12" s="614"/>
      <c r="AB12" s="614"/>
      <c r="AC12" s="24">
        <v>3</v>
      </c>
      <c r="AD12" s="24">
        <f>SUM(AD9:AD11)</f>
        <v>0</v>
      </c>
      <c r="AE12" s="14">
        <f t="shared" si="8"/>
        <v>-68.322360293583188</v>
      </c>
      <c r="AF12" s="384">
        <f t="shared" si="9"/>
        <v>0.95445175980427788</v>
      </c>
      <c r="AG12" s="615"/>
    </row>
    <row r="13" spans="1:33" ht="16.5" customHeight="1">
      <c r="A13" s="646" t="s">
        <v>450</v>
      </c>
      <c r="B13" s="398" t="s">
        <v>22</v>
      </c>
      <c r="C13" s="640" t="s">
        <v>23</v>
      </c>
      <c r="D13" s="640"/>
      <c r="E13" s="29">
        <v>41</v>
      </c>
      <c r="F13" s="398">
        <v>1670</v>
      </c>
      <c r="G13" s="385">
        <f t="shared" ref="G13:G19" si="15">E13*F13</f>
        <v>68470</v>
      </c>
      <c r="H13" s="33" t="s">
        <v>57</v>
      </c>
      <c r="I13" s="395">
        <v>26</v>
      </c>
      <c r="J13" s="31">
        <v>1500</v>
      </c>
      <c r="K13" s="12">
        <f t="shared" si="1"/>
        <v>57.692307692307693</v>
      </c>
      <c r="L13" s="395">
        <v>26</v>
      </c>
      <c r="M13" s="13">
        <f t="shared" ref="M13:M19" si="16">F13/V13*60</f>
        <v>1431.4285714285711</v>
      </c>
      <c r="N13" s="12">
        <f t="shared" si="3"/>
        <v>55.054945054945044</v>
      </c>
      <c r="O13" s="14">
        <f t="shared" si="4"/>
        <v>0</v>
      </c>
      <c r="P13" s="15">
        <f t="shared" si="5"/>
        <v>-2.6373626373626493</v>
      </c>
      <c r="Q13" s="384">
        <f t="shared" si="6"/>
        <v>0.95428571428571407</v>
      </c>
      <c r="R13" s="615">
        <f>Q20</f>
        <v>0.95752724630990094</v>
      </c>
      <c r="S13" s="34">
        <v>8.3333333333333329E-2</v>
      </c>
      <c r="T13" s="34">
        <v>0.13194444444444445</v>
      </c>
      <c r="U13" s="385"/>
      <c r="V13" s="396">
        <f t="shared" ref="V13:V19" si="17">(T13-S13)*24*60</f>
        <v>70.000000000000014</v>
      </c>
      <c r="W13" s="16">
        <f>T13</f>
        <v>0.13194444444444445</v>
      </c>
      <c r="X13" s="16">
        <f>S14</f>
        <v>0.15</v>
      </c>
      <c r="Y13" s="21"/>
      <c r="Z13" s="21"/>
      <c r="AA13" s="617"/>
      <c r="AB13" s="617"/>
      <c r="AC13" s="18">
        <v>7</v>
      </c>
      <c r="AD13" s="18"/>
      <c r="AE13" s="14">
        <f t="shared" si="8"/>
        <v>-68.571428571428896</v>
      </c>
      <c r="AF13" s="384">
        <f t="shared" si="9"/>
        <v>0.95428571428571407</v>
      </c>
      <c r="AG13" s="615">
        <f>AF20</f>
        <v>0.95752724630990105</v>
      </c>
    </row>
    <row r="14" spans="1:33" ht="16.5" customHeight="1">
      <c r="A14" s="647" t="s">
        <v>1831</v>
      </c>
      <c r="B14" s="398" t="s">
        <v>22</v>
      </c>
      <c r="C14" s="640" t="s">
        <v>87</v>
      </c>
      <c r="D14" s="640"/>
      <c r="E14" s="29">
        <v>38.619999999999997</v>
      </c>
      <c r="F14" s="398">
        <v>1969</v>
      </c>
      <c r="G14" s="385">
        <f t="shared" si="15"/>
        <v>76042.78</v>
      </c>
      <c r="H14" s="33" t="s">
        <v>57</v>
      </c>
      <c r="I14" s="395">
        <v>24</v>
      </c>
      <c r="J14" s="31">
        <v>1500</v>
      </c>
      <c r="K14" s="12">
        <f t="shared" si="1"/>
        <v>62.5</v>
      </c>
      <c r="L14" s="395">
        <v>24</v>
      </c>
      <c r="M14" s="13">
        <f t="shared" si="16"/>
        <v>1440.7317073170734</v>
      </c>
      <c r="N14" s="12">
        <f t="shared" si="3"/>
        <v>60.030487804878057</v>
      </c>
      <c r="O14" s="14">
        <f t="shared" si="4"/>
        <v>0</v>
      </c>
      <c r="P14" s="15">
        <f t="shared" si="5"/>
        <v>-2.4695121951219434</v>
      </c>
      <c r="Q14" s="384">
        <f t="shared" si="6"/>
        <v>0.96048780487804886</v>
      </c>
      <c r="R14" s="615"/>
      <c r="S14" s="34">
        <v>0.15</v>
      </c>
      <c r="T14" s="34">
        <v>0.20694444444444443</v>
      </c>
      <c r="U14" s="385">
        <f t="shared" ref="U14:U19" si="18">IF(S14=TIME(17,0,0),"",(S14-T13)*24*60)</f>
        <v>25.999999999999986</v>
      </c>
      <c r="V14" s="396">
        <f t="shared" si="17"/>
        <v>81.999999999999986</v>
      </c>
      <c r="W14" s="16"/>
      <c r="X14" s="16"/>
      <c r="Y14" s="16"/>
      <c r="Z14" s="16"/>
      <c r="AA14" s="617"/>
      <c r="AB14" s="617"/>
      <c r="AC14" s="18"/>
      <c r="AD14" s="18"/>
      <c r="AE14" s="14">
        <f t="shared" si="8"/>
        <v>-59.268292682926585</v>
      </c>
      <c r="AF14" s="384">
        <f t="shared" si="9"/>
        <v>0.96048780487804897</v>
      </c>
      <c r="AG14" s="615"/>
    </row>
    <row r="15" spans="1:33" ht="16.5" customHeight="1">
      <c r="A15" s="647" t="s">
        <v>1831</v>
      </c>
      <c r="B15" s="398" t="s">
        <v>15</v>
      </c>
      <c r="C15" s="640" t="s">
        <v>86</v>
      </c>
      <c r="D15" s="640"/>
      <c r="E15" s="29">
        <v>37.03</v>
      </c>
      <c r="F15" s="398">
        <v>2794</v>
      </c>
      <c r="G15" s="385">
        <f t="shared" si="15"/>
        <v>103461.82</v>
      </c>
      <c r="H15" s="33" t="s">
        <v>57</v>
      </c>
      <c r="I15" s="395">
        <v>13</v>
      </c>
      <c r="J15" s="31">
        <v>1500</v>
      </c>
      <c r="K15" s="12">
        <f t="shared" si="1"/>
        <v>115.38461538461539</v>
      </c>
      <c r="L15" s="395">
        <v>13</v>
      </c>
      <c r="M15" s="13">
        <f t="shared" si="16"/>
        <v>1432.8205128205125</v>
      </c>
      <c r="N15" s="12">
        <f t="shared" si="3"/>
        <v>110.2169625246548</v>
      </c>
      <c r="O15" s="14">
        <f t="shared" si="4"/>
        <v>0</v>
      </c>
      <c r="P15" s="15">
        <f t="shared" si="5"/>
        <v>-5.1676528599605831</v>
      </c>
      <c r="Q15" s="384">
        <f t="shared" si="6"/>
        <v>0.95521367521367495</v>
      </c>
      <c r="R15" s="615"/>
      <c r="S15" s="34">
        <v>0.21180555555555555</v>
      </c>
      <c r="T15" s="34">
        <v>0.29305555555555557</v>
      </c>
      <c r="U15" s="385">
        <f t="shared" si="18"/>
        <v>7.0000000000000151</v>
      </c>
      <c r="V15" s="396">
        <f t="shared" si="17"/>
        <v>117.00000000000003</v>
      </c>
      <c r="W15" s="16"/>
      <c r="X15" s="16"/>
      <c r="Y15" s="16"/>
      <c r="Z15" s="16"/>
      <c r="AA15" s="617"/>
      <c r="AB15" s="617"/>
      <c r="AC15" s="18"/>
      <c r="AD15" s="18"/>
      <c r="AE15" s="14">
        <f t="shared" si="8"/>
        <v>-67.179487179487523</v>
      </c>
      <c r="AF15" s="384">
        <f t="shared" si="9"/>
        <v>0.95521367521367495</v>
      </c>
      <c r="AG15" s="615"/>
    </row>
    <row r="16" spans="1:33" ht="16.5" customHeight="1">
      <c r="A16" s="647" t="s">
        <v>1831</v>
      </c>
      <c r="B16" s="398" t="s">
        <v>19</v>
      </c>
      <c r="C16" s="640" t="s">
        <v>267</v>
      </c>
      <c r="D16" s="640"/>
      <c r="E16" s="29">
        <v>39.520000000000003</v>
      </c>
      <c r="F16" s="398">
        <v>2696</v>
      </c>
      <c r="G16" s="385">
        <f t="shared" si="15"/>
        <v>106545.92000000001</v>
      </c>
      <c r="H16" s="33" t="s">
        <v>57</v>
      </c>
      <c r="I16" s="395">
        <v>19</v>
      </c>
      <c r="J16" s="31">
        <v>1500</v>
      </c>
      <c r="K16" s="12">
        <f t="shared" si="1"/>
        <v>78.94736842105263</v>
      </c>
      <c r="L16" s="395">
        <v>19</v>
      </c>
      <c r="M16" s="13">
        <f t="shared" si="16"/>
        <v>1431.5044247787609</v>
      </c>
      <c r="N16" s="12">
        <f t="shared" si="3"/>
        <v>75.342338146250583</v>
      </c>
      <c r="O16" s="14">
        <f t="shared" si="4"/>
        <v>0</v>
      </c>
      <c r="P16" s="15">
        <f t="shared" si="5"/>
        <v>-3.6050302748020471</v>
      </c>
      <c r="Q16" s="384">
        <f t="shared" si="6"/>
        <v>0.95433628318584074</v>
      </c>
      <c r="R16" s="615"/>
      <c r="S16" s="34">
        <v>0.29722222222222222</v>
      </c>
      <c r="T16" s="34">
        <v>0.37569444444444444</v>
      </c>
      <c r="U16" s="385">
        <f t="shared" si="18"/>
        <v>5.9999999999999787</v>
      </c>
      <c r="V16" s="396">
        <f t="shared" si="17"/>
        <v>113</v>
      </c>
      <c r="W16" s="16"/>
      <c r="X16" s="16"/>
      <c r="Y16" s="16"/>
      <c r="Z16" s="16"/>
      <c r="AA16" s="617"/>
      <c r="AB16" s="617"/>
      <c r="AC16" s="18"/>
      <c r="AD16" s="18"/>
      <c r="AE16" s="14">
        <f t="shared" si="8"/>
        <v>-68.495575221239051</v>
      </c>
      <c r="AF16" s="384">
        <f t="shared" si="9"/>
        <v>0.95433628318584063</v>
      </c>
      <c r="AG16" s="615"/>
    </row>
    <row r="17" spans="1:33" ht="16.5" customHeight="1">
      <c r="A17" s="647" t="s">
        <v>1831</v>
      </c>
      <c r="B17" s="398" t="s">
        <v>15</v>
      </c>
      <c r="C17" s="640" t="s">
        <v>25</v>
      </c>
      <c r="D17" s="640"/>
      <c r="E17" s="29">
        <v>53.68</v>
      </c>
      <c r="F17" s="398">
        <v>1007</v>
      </c>
      <c r="G17" s="385">
        <f t="shared" si="15"/>
        <v>54055.76</v>
      </c>
      <c r="H17" s="33" t="s">
        <v>57</v>
      </c>
      <c r="I17" s="395">
        <v>16</v>
      </c>
      <c r="J17" s="31">
        <v>1500</v>
      </c>
      <c r="K17" s="12">
        <f t="shared" si="1"/>
        <v>93.75</v>
      </c>
      <c r="L17" s="395">
        <v>16</v>
      </c>
      <c r="M17" s="13">
        <f t="shared" si="16"/>
        <v>1438.571428571428</v>
      </c>
      <c r="N17" s="12">
        <f t="shared" si="3"/>
        <v>89.910714285714249</v>
      </c>
      <c r="O17" s="14">
        <f t="shared" si="4"/>
        <v>0</v>
      </c>
      <c r="P17" s="15">
        <f t="shared" si="5"/>
        <v>-3.8392857142857508</v>
      </c>
      <c r="Q17" s="384">
        <f t="shared" si="6"/>
        <v>0.9590476190476187</v>
      </c>
      <c r="R17" s="615"/>
      <c r="S17" s="34">
        <v>0.70833333333333337</v>
      </c>
      <c r="T17" s="34">
        <v>0.73750000000000004</v>
      </c>
      <c r="U17" s="385" t="str">
        <f t="shared" si="18"/>
        <v/>
      </c>
      <c r="V17" s="396">
        <f t="shared" si="17"/>
        <v>42.000000000000014</v>
      </c>
      <c r="W17" s="16"/>
      <c r="X17" s="16"/>
      <c r="Y17" s="16"/>
      <c r="Z17" s="16"/>
      <c r="AA17" s="617"/>
      <c r="AB17" s="617"/>
      <c r="AC17" s="18"/>
      <c r="AD17" s="18"/>
      <c r="AE17" s="14">
        <f t="shared" si="8"/>
        <v>-61.428571428572013</v>
      </c>
      <c r="AF17" s="384">
        <f t="shared" si="9"/>
        <v>0.9590476190476187</v>
      </c>
      <c r="AG17" s="615"/>
    </row>
    <row r="18" spans="1:33" ht="16.5" customHeight="1">
      <c r="A18" s="647" t="s">
        <v>1831</v>
      </c>
      <c r="B18" s="398" t="s">
        <v>15</v>
      </c>
      <c r="C18" s="393" t="s">
        <v>18</v>
      </c>
      <c r="D18" s="394"/>
      <c r="E18" s="29">
        <v>52.86</v>
      </c>
      <c r="F18" s="398">
        <v>997</v>
      </c>
      <c r="G18" s="385">
        <f t="shared" si="15"/>
        <v>52701.42</v>
      </c>
      <c r="H18" s="33" t="s">
        <v>57</v>
      </c>
      <c r="I18" s="395">
        <v>16</v>
      </c>
      <c r="J18" s="31">
        <v>2000</v>
      </c>
      <c r="K18" s="12">
        <f t="shared" si="1"/>
        <v>125</v>
      </c>
      <c r="L18" s="395">
        <v>16</v>
      </c>
      <c r="M18" s="13">
        <f t="shared" si="16"/>
        <v>1929.6774193548354</v>
      </c>
      <c r="N18" s="12">
        <f t="shared" si="3"/>
        <v>120.60483870967721</v>
      </c>
      <c r="O18" s="14">
        <f t="shared" si="4"/>
        <v>0</v>
      </c>
      <c r="P18" s="15">
        <f t="shared" si="5"/>
        <v>-4.3951612903227897</v>
      </c>
      <c r="Q18" s="384">
        <f t="shared" si="6"/>
        <v>0.96483870967741769</v>
      </c>
      <c r="R18" s="615"/>
      <c r="S18" s="34">
        <v>0.7416666666666667</v>
      </c>
      <c r="T18" s="34">
        <v>0.76319444444444451</v>
      </c>
      <c r="U18" s="385">
        <f t="shared" si="18"/>
        <v>5.9999999999999787</v>
      </c>
      <c r="V18" s="396">
        <f t="shared" si="17"/>
        <v>31.00000000000005</v>
      </c>
      <c r="W18" s="16"/>
      <c r="X18" s="16"/>
      <c r="Y18" s="19"/>
      <c r="Z18" s="19"/>
      <c r="AA18" s="391"/>
      <c r="AB18" s="392"/>
      <c r="AC18" s="18"/>
      <c r="AD18" s="18"/>
      <c r="AE18" s="14">
        <f t="shared" si="8"/>
        <v>-70.322580645164635</v>
      </c>
      <c r="AF18" s="384">
        <f t="shared" si="9"/>
        <v>0.96483870967741769</v>
      </c>
      <c r="AG18" s="615"/>
    </row>
    <row r="19" spans="1:33" ht="16.5" customHeight="1">
      <c r="A19" s="647" t="s">
        <v>1831</v>
      </c>
      <c r="B19" s="398" t="s">
        <v>15</v>
      </c>
      <c r="C19" s="393" t="s">
        <v>16</v>
      </c>
      <c r="D19" s="394"/>
      <c r="E19" s="29">
        <v>50.67</v>
      </c>
      <c r="F19" s="398">
        <v>1303</v>
      </c>
      <c r="G19" s="385">
        <f t="shared" si="15"/>
        <v>66023.010000000009</v>
      </c>
      <c r="H19" s="33" t="s">
        <v>57</v>
      </c>
      <c r="I19" s="395">
        <v>17</v>
      </c>
      <c r="J19" s="31">
        <v>2000</v>
      </c>
      <c r="K19" s="12">
        <f t="shared" si="1"/>
        <v>117.64705882352941</v>
      </c>
      <c r="L19" s="395">
        <v>17</v>
      </c>
      <c r="M19" s="13">
        <f t="shared" si="16"/>
        <v>1906.8292682926824</v>
      </c>
      <c r="N19" s="12">
        <f t="shared" si="3"/>
        <v>112.16642754662837</v>
      </c>
      <c r="O19" s="14">
        <f t="shared" si="4"/>
        <v>0</v>
      </c>
      <c r="P19" s="15">
        <f t="shared" si="5"/>
        <v>-5.4806312769010361</v>
      </c>
      <c r="Q19" s="384">
        <f t="shared" si="6"/>
        <v>0.9534146341463412</v>
      </c>
      <c r="R19" s="615"/>
      <c r="S19" s="34">
        <v>0.76875000000000004</v>
      </c>
      <c r="T19" s="34">
        <v>0.79722222222222228</v>
      </c>
      <c r="U19" s="385">
        <f t="shared" si="18"/>
        <v>7.9999999999999716</v>
      </c>
      <c r="V19" s="396">
        <f t="shared" si="17"/>
        <v>41.000000000000014</v>
      </c>
      <c r="W19" s="16"/>
      <c r="X19" s="16"/>
      <c r="Y19" s="19"/>
      <c r="Z19" s="19"/>
      <c r="AA19" s="391"/>
      <c r="AB19" s="392"/>
      <c r="AC19" s="18"/>
      <c r="AD19" s="18"/>
      <c r="AE19" s="14">
        <f t="shared" si="8"/>
        <v>-93.1707317073176</v>
      </c>
      <c r="AF19" s="384">
        <f t="shared" si="9"/>
        <v>0.9534146341463412</v>
      </c>
      <c r="AG19" s="615"/>
    </row>
    <row r="20" spans="1:33" ht="16.5" customHeight="1">
      <c r="A20" s="647" t="s">
        <v>1831</v>
      </c>
      <c r="B20" s="29" t="s">
        <v>271</v>
      </c>
      <c r="C20" s="618"/>
      <c r="D20" s="618"/>
      <c r="E20" s="387"/>
      <c r="F20" s="30"/>
      <c r="G20" s="12"/>
      <c r="H20" s="398"/>
      <c r="I20" s="23">
        <v>18.714285714285715</v>
      </c>
      <c r="J20" s="31">
        <v>1642.8571428571429</v>
      </c>
      <c r="K20" s="12">
        <f t="shared" si="1"/>
        <v>87.786259541984734</v>
      </c>
      <c r="L20" s="23">
        <v>18.714285714285715</v>
      </c>
      <c r="M20" s="13">
        <f>AVERAGE(M13:M19)</f>
        <v>1573.0804760805518</v>
      </c>
      <c r="N20" s="12">
        <f t="shared" si="3"/>
        <v>84.057735363082912</v>
      </c>
      <c r="O20" s="14">
        <f t="shared" si="4"/>
        <v>0</v>
      </c>
      <c r="P20" s="15">
        <f t="shared" si="5"/>
        <v>-3.7285241789018215</v>
      </c>
      <c r="Q20" s="384">
        <f t="shared" si="6"/>
        <v>0.95752724630990094</v>
      </c>
      <c r="R20" s="615"/>
      <c r="S20" s="34"/>
      <c r="T20" s="34"/>
      <c r="U20" s="385"/>
      <c r="V20" s="396"/>
      <c r="W20" s="12"/>
      <c r="X20" s="12"/>
      <c r="Y20" s="24">
        <f>SUM(Y13:Y19)</f>
        <v>0</v>
      </c>
      <c r="Z20" s="24">
        <f>SUM(Z13:Z19)</f>
        <v>0</v>
      </c>
      <c r="AA20" s="614"/>
      <c r="AB20" s="614"/>
      <c r="AC20" s="24">
        <v>7</v>
      </c>
      <c r="AD20" s="24">
        <f>SUM(AD13:AD19)</f>
        <v>0</v>
      </c>
      <c r="AE20" s="14">
        <f t="shared" si="8"/>
        <v>-69.776666776591128</v>
      </c>
      <c r="AF20" s="384">
        <f t="shared" si="9"/>
        <v>0.95752724630990105</v>
      </c>
      <c r="AG20" s="615"/>
    </row>
    <row r="21" spans="1:33" ht="15.75" customHeight="1">
      <c r="A21" s="642" t="s">
        <v>269</v>
      </c>
      <c r="B21" s="29" t="s">
        <v>15</v>
      </c>
      <c r="C21" s="640" t="s">
        <v>24</v>
      </c>
      <c r="D21" s="640"/>
      <c r="E21" s="29">
        <v>54.09</v>
      </c>
      <c r="F21" s="398">
        <v>1137</v>
      </c>
      <c r="G21" s="385">
        <f t="shared" ref="G21:G27" si="19">E21*F21</f>
        <v>61500.33</v>
      </c>
      <c r="H21" s="33" t="s">
        <v>57</v>
      </c>
      <c r="I21" s="395">
        <v>17</v>
      </c>
      <c r="J21" s="31">
        <v>1500</v>
      </c>
      <c r="K21" s="12">
        <f t="shared" si="1"/>
        <v>88.235294117647058</v>
      </c>
      <c r="L21" s="395">
        <v>17</v>
      </c>
      <c r="M21" s="13">
        <f t="shared" ref="M21:M27" si="20">F21/V21*60</f>
        <v>1451.489361702128</v>
      </c>
      <c r="N21" s="12">
        <f t="shared" si="3"/>
        <v>85.381727158948706</v>
      </c>
      <c r="O21" s="14">
        <f t="shared" si="4"/>
        <v>0</v>
      </c>
      <c r="P21" s="15">
        <f t="shared" si="5"/>
        <v>-2.8535669586983516</v>
      </c>
      <c r="Q21" s="384">
        <f t="shared" si="6"/>
        <v>0.96765957446808537</v>
      </c>
      <c r="R21" s="615">
        <f>Q28</f>
        <v>0.95909150509828434</v>
      </c>
      <c r="S21" s="34">
        <v>0.20833333333333334</v>
      </c>
      <c r="T21" s="34">
        <v>0.24097222222222223</v>
      </c>
      <c r="U21" s="385"/>
      <c r="V21" s="396">
        <f t="shared" ref="V21:V27" si="21">(T21-S21)*24*60</f>
        <v>46.999999999999993</v>
      </c>
      <c r="W21" s="21"/>
      <c r="X21" s="21"/>
      <c r="Y21" s="21"/>
      <c r="Z21" s="21"/>
      <c r="AA21" s="617"/>
      <c r="AB21" s="617"/>
      <c r="AC21" s="18">
        <v>7</v>
      </c>
      <c r="AD21" s="18"/>
      <c r="AE21" s="14">
        <f t="shared" si="8"/>
        <v>-48.510638297871992</v>
      </c>
      <c r="AF21" s="384">
        <f t="shared" si="9"/>
        <v>0.96765957446808537</v>
      </c>
      <c r="AG21" s="615">
        <f>AF28</f>
        <v>0.95909150509828434</v>
      </c>
    </row>
    <row r="22" spans="1:33" ht="15.75" customHeight="1">
      <c r="A22" s="643" t="s">
        <v>269</v>
      </c>
      <c r="B22" s="29" t="s">
        <v>15</v>
      </c>
      <c r="C22" s="640" t="s">
        <v>28</v>
      </c>
      <c r="D22" s="640"/>
      <c r="E22" s="29">
        <v>50.67</v>
      </c>
      <c r="F22" s="398">
        <v>1213</v>
      </c>
      <c r="G22" s="385">
        <f t="shared" si="19"/>
        <v>61462.71</v>
      </c>
      <c r="H22" s="33" t="s">
        <v>57</v>
      </c>
      <c r="I22" s="395">
        <v>17</v>
      </c>
      <c r="J22" s="31">
        <v>2000</v>
      </c>
      <c r="K22" s="12">
        <f t="shared" si="1"/>
        <v>117.64705882352941</v>
      </c>
      <c r="L22" s="395">
        <v>17</v>
      </c>
      <c r="M22" s="13">
        <f t="shared" si="20"/>
        <v>1915.2631578947355</v>
      </c>
      <c r="N22" s="12">
        <f t="shared" si="3"/>
        <v>112.66253869969033</v>
      </c>
      <c r="O22" s="14">
        <f t="shared" si="4"/>
        <v>0</v>
      </c>
      <c r="P22" s="15">
        <f t="shared" si="5"/>
        <v>-4.9845201238390757</v>
      </c>
      <c r="Q22" s="384">
        <f t="shared" si="6"/>
        <v>0.95763157894736783</v>
      </c>
      <c r="R22" s="615"/>
      <c r="S22" s="34">
        <v>0.24513888888888891</v>
      </c>
      <c r="T22" s="34">
        <v>0.27152777777777781</v>
      </c>
      <c r="U22" s="385">
        <f t="shared" ref="U22:U27" si="22">IF(S22=TIME(17,0,0),"",(S22-T21)*24*60)</f>
        <v>6.0000000000000187</v>
      </c>
      <c r="V22" s="396">
        <f t="shared" si="21"/>
        <v>38.000000000000028</v>
      </c>
      <c r="W22" s="16"/>
      <c r="X22" s="385"/>
      <c r="Y22" s="385"/>
      <c r="Z22" s="385"/>
      <c r="AA22" s="617"/>
      <c r="AB22" s="617"/>
      <c r="AC22" s="18"/>
      <c r="AD22" s="18"/>
      <c r="AE22" s="14">
        <f t="shared" si="8"/>
        <v>-84.736842105264486</v>
      </c>
      <c r="AF22" s="384">
        <f t="shared" si="9"/>
        <v>0.95763157894736772</v>
      </c>
      <c r="AG22" s="615"/>
    </row>
    <row r="23" spans="1:33" ht="15.75" customHeight="1">
      <c r="A23" s="643" t="s">
        <v>269</v>
      </c>
      <c r="B23" s="29" t="s">
        <v>15</v>
      </c>
      <c r="C23" s="640" t="s">
        <v>29</v>
      </c>
      <c r="D23" s="640"/>
      <c r="E23" s="29">
        <v>57.73</v>
      </c>
      <c r="F23" s="398">
        <v>1576</v>
      </c>
      <c r="G23" s="385">
        <f t="shared" si="19"/>
        <v>90982.48</v>
      </c>
      <c r="H23" s="33" t="s">
        <v>57</v>
      </c>
      <c r="I23" s="395">
        <v>14</v>
      </c>
      <c r="J23" s="31">
        <v>2000</v>
      </c>
      <c r="K23" s="12">
        <f t="shared" si="1"/>
        <v>142.85714285714286</v>
      </c>
      <c r="L23" s="395">
        <v>14</v>
      </c>
      <c r="M23" s="13">
        <f t="shared" si="20"/>
        <v>1929.7959183673477</v>
      </c>
      <c r="N23" s="12">
        <f t="shared" si="3"/>
        <v>137.84256559766769</v>
      </c>
      <c r="O23" s="14">
        <f t="shared" si="4"/>
        <v>0</v>
      </c>
      <c r="P23" s="15">
        <f t="shared" si="5"/>
        <v>-5.0145772594751747</v>
      </c>
      <c r="Q23" s="384">
        <f t="shared" si="6"/>
        <v>0.96489795918367383</v>
      </c>
      <c r="R23" s="615"/>
      <c r="S23" s="34">
        <v>0.27638888888888891</v>
      </c>
      <c r="T23" s="34">
        <v>0.31041666666666667</v>
      </c>
      <c r="U23" s="385">
        <f t="shared" si="22"/>
        <v>6.9999999999999751</v>
      </c>
      <c r="V23" s="396">
        <f t="shared" si="21"/>
        <v>48.999999999999986</v>
      </c>
      <c r="W23" s="16"/>
      <c r="X23" s="385"/>
      <c r="Y23" s="385"/>
      <c r="Z23" s="385"/>
      <c r="AA23" s="617"/>
      <c r="AB23" s="617"/>
      <c r="AC23" s="18"/>
      <c r="AD23" s="18"/>
      <c r="AE23" s="14">
        <f t="shared" si="8"/>
        <v>-70.204081632652333</v>
      </c>
      <c r="AF23" s="384">
        <f t="shared" si="9"/>
        <v>0.96489795918367383</v>
      </c>
      <c r="AG23" s="615"/>
    </row>
    <row r="24" spans="1:33" ht="15.75" customHeight="1">
      <c r="A24" s="643" t="s">
        <v>269</v>
      </c>
      <c r="B24" s="29" t="s">
        <v>15</v>
      </c>
      <c r="C24" s="640" t="s">
        <v>80</v>
      </c>
      <c r="D24" s="640"/>
      <c r="E24" s="29">
        <v>53.27</v>
      </c>
      <c r="F24" s="398">
        <v>1403</v>
      </c>
      <c r="G24" s="385">
        <f t="shared" si="19"/>
        <v>74737.81</v>
      </c>
      <c r="H24" s="33" t="s">
        <v>57</v>
      </c>
      <c r="I24" s="395">
        <v>16</v>
      </c>
      <c r="J24" s="31">
        <v>2000</v>
      </c>
      <c r="K24" s="12">
        <f t="shared" si="1"/>
        <v>125</v>
      </c>
      <c r="L24" s="395">
        <v>16</v>
      </c>
      <c r="M24" s="13">
        <f t="shared" si="20"/>
        <v>1913.1818181818182</v>
      </c>
      <c r="N24" s="12">
        <f t="shared" si="3"/>
        <v>119.57386363636364</v>
      </c>
      <c r="O24" s="14">
        <f t="shared" si="4"/>
        <v>0</v>
      </c>
      <c r="P24" s="15">
        <f t="shared" si="5"/>
        <v>-5.4261363636363598</v>
      </c>
      <c r="Q24" s="384">
        <f t="shared" si="6"/>
        <v>0.95659090909090916</v>
      </c>
      <c r="R24" s="615"/>
      <c r="S24" s="34">
        <v>0.31527777777777777</v>
      </c>
      <c r="T24" s="34">
        <v>0.34583333333333333</v>
      </c>
      <c r="U24" s="385">
        <f t="shared" si="22"/>
        <v>6.9999999999999751</v>
      </c>
      <c r="V24" s="396">
        <f t="shared" si="21"/>
        <v>44</v>
      </c>
      <c r="W24" s="16"/>
      <c r="X24" s="385"/>
      <c r="Y24" s="385"/>
      <c r="Z24" s="385"/>
      <c r="AA24" s="617"/>
      <c r="AB24" s="617"/>
      <c r="AC24" s="18"/>
      <c r="AD24" s="18"/>
      <c r="AE24" s="14">
        <f t="shared" si="8"/>
        <v>-86.818181818181756</v>
      </c>
      <c r="AF24" s="384">
        <f t="shared" si="9"/>
        <v>0.95659090909090916</v>
      </c>
      <c r="AG24" s="615"/>
    </row>
    <row r="25" spans="1:33" ht="15.75" customHeight="1">
      <c r="A25" s="643" t="s">
        <v>269</v>
      </c>
      <c r="B25" s="29" t="s">
        <v>15</v>
      </c>
      <c r="C25" s="640" t="s">
        <v>1472</v>
      </c>
      <c r="D25" s="640"/>
      <c r="E25" s="29">
        <v>51.44</v>
      </c>
      <c r="F25" s="398">
        <v>1949</v>
      </c>
      <c r="G25" s="385">
        <f t="shared" si="19"/>
        <v>100256.56</v>
      </c>
      <c r="H25" s="33" t="s">
        <v>57</v>
      </c>
      <c r="I25" s="395">
        <v>25</v>
      </c>
      <c r="J25" s="31">
        <v>2000</v>
      </c>
      <c r="K25" s="12">
        <f t="shared" si="1"/>
        <v>80</v>
      </c>
      <c r="L25" s="395">
        <v>25</v>
      </c>
      <c r="M25" s="13">
        <f t="shared" si="20"/>
        <v>1917.049180327868</v>
      </c>
      <c r="N25" s="12">
        <f t="shared" si="3"/>
        <v>76.681967213114717</v>
      </c>
      <c r="O25" s="14">
        <f t="shared" si="4"/>
        <v>0</v>
      </c>
      <c r="P25" s="15">
        <f t="shared" si="5"/>
        <v>-3.3180327868852828</v>
      </c>
      <c r="Q25" s="384">
        <f t="shared" si="6"/>
        <v>0.95852459016393399</v>
      </c>
      <c r="R25" s="615"/>
      <c r="S25" s="34">
        <v>0.34930555555555554</v>
      </c>
      <c r="T25" s="34">
        <v>0.39166666666666666</v>
      </c>
      <c r="U25" s="385">
        <f t="shared" si="22"/>
        <v>4.9999999999999822</v>
      </c>
      <c r="V25" s="396">
        <f t="shared" si="21"/>
        <v>61.000000000000021</v>
      </c>
      <c r="W25" s="16"/>
      <c r="X25" s="16"/>
      <c r="Y25" s="385"/>
      <c r="Z25" s="385"/>
      <c r="AA25" s="617"/>
      <c r="AB25" s="617"/>
      <c r="AC25" s="18"/>
      <c r="AD25" s="18"/>
      <c r="AE25" s="14">
        <f t="shared" si="8"/>
        <v>-82.950819672131956</v>
      </c>
      <c r="AF25" s="384">
        <f t="shared" si="9"/>
        <v>0.95852459016393399</v>
      </c>
      <c r="AG25" s="615"/>
    </row>
    <row r="26" spans="1:33" ht="15.75" customHeight="1">
      <c r="A26" s="643" t="s">
        <v>269</v>
      </c>
      <c r="B26" s="29" t="s">
        <v>15</v>
      </c>
      <c r="C26" s="640" t="s">
        <v>30</v>
      </c>
      <c r="D26" s="640"/>
      <c r="E26" s="29">
        <v>50.49</v>
      </c>
      <c r="F26" s="398">
        <v>1619</v>
      </c>
      <c r="G26" s="385">
        <f t="shared" si="19"/>
        <v>81743.31</v>
      </c>
      <c r="H26" s="33" t="s">
        <v>57</v>
      </c>
      <c r="I26" s="395">
        <v>15</v>
      </c>
      <c r="J26" s="31">
        <v>2000</v>
      </c>
      <c r="K26" s="12">
        <f t="shared" si="1"/>
        <v>133.33333333333334</v>
      </c>
      <c r="L26" s="395">
        <v>15</v>
      </c>
      <c r="M26" s="13">
        <f t="shared" si="20"/>
        <v>1904.7058823529419</v>
      </c>
      <c r="N26" s="12">
        <f t="shared" si="3"/>
        <v>126.98039215686279</v>
      </c>
      <c r="O26" s="14">
        <f t="shared" si="4"/>
        <v>0</v>
      </c>
      <c r="P26" s="15">
        <f t="shared" si="5"/>
        <v>-6.3529411764705515</v>
      </c>
      <c r="Q26" s="384">
        <f t="shared" si="6"/>
        <v>0.95235294117647085</v>
      </c>
      <c r="R26" s="615"/>
      <c r="S26" s="34">
        <v>0.70833333333333337</v>
      </c>
      <c r="T26" s="34">
        <v>0.74375000000000002</v>
      </c>
      <c r="U26" s="385" t="str">
        <f t="shared" si="22"/>
        <v/>
      </c>
      <c r="V26" s="396">
        <f t="shared" si="21"/>
        <v>50.999999999999979</v>
      </c>
      <c r="W26" s="16"/>
      <c r="X26" s="21"/>
      <c r="Y26" s="21"/>
      <c r="Z26" s="21"/>
      <c r="AA26" s="617"/>
      <c r="AB26" s="617"/>
      <c r="AC26" s="18"/>
      <c r="AD26" s="18"/>
      <c r="AE26" s="14">
        <f t="shared" si="8"/>
        <v>-95.294117647058101</v>
      </c>
      <c r="AF26" s="384">
        <f t="shared" si="9"/>
        <v>0.95235294117647096</v>
      </c>
      <c r="AG26" s="615"/>
    </row>
    <row r="27" spans="1:33" ht="15.75" customHeight="1">
      <c r="A27" s="643" t="s">
        <v>269</v>
      </c>
      <c r="B27" s="29" t="s">
        <v>15</v>
      </c>
      <c r="C27" s="666" t="s">
        <v>82</v>
      </c>
      <c r="D27" s="667"/>
      <c r="E27" s="29">
        <v>51.06</v>
      </c>
      <c r="F27" s="398">
        <v>2555</v>
      </c>
      <c r="G27" s="385">
        <f t="shared" si="19"/>
        <v>130458.3</v>
      </c>
      <c r="H27" s="33" t="s">
        <v>57</v>
      </c>
      <c r="I27" s="395">
        <v>13</v>
      </c>
      <c r="J27" s="31">
        <v>2000</v>
      </c>
      <c r="K27" s="12">
        <f t="shared" si="1"/>
        <v>153.84615384615384</v>
      </c>
      <c r="L27" s="395">
        <v>13</v>
      </c>
      <c r="M27" s="13">
        <f t="shared" si="20"/>
        <v>1916.2499999999993</v>
      </c>
      <c r="N27" s="12">
        <f t="shared" si="3"/>
        <v>147.4038461538461</v>
      </c>
      <c r="O27" s="14">
        <f t="shared" si="4"/>
        <v>0</v>
      </c>
      <c r="P27" s="15">
        <f t="shared" si="5"/>
        <v>-6.442307692307736</v>
      </c>
      <c r="Q27" s="384">
        <f t="shared" si="6"/>
        <v>0.95812499999999967</v>
      </c>
      <c r="R27" s="615"/>
      <c r="S27" s="34">
        <v>0.74722222222222223</v>
      </c>
      <c r="T27" s="34">
        <v>0.80277777777777781</v>
      </c>
      <c r="U27" s="385">
        <f t="shared" si="22"/>
        <v>4.9999999999999822</v>
      </c>
      <c r="V27" s="396">
        <f t="shared" si="21"/>
        <v>80.000000000000028</v>
      </c>
      <c r="W27" s="16"/>
      <c r="X27" s="21"/>
      <c r="Y27" s="22"/>
      <c r="Z27" s="22"/>
      <c r="AA27" s="624"/>
      <c r="AB27" s="625"/>
      <c r="AC27" s="18"/>
      <c r="AD27" s="18"/>
      <c r="AE27" s="14">
        <f t="shared" si="8"/>
        <v>-83.750000000000682</v>
      </c>
      <c r="AF27" s="384">
        <f t="shared" si="9"/>
        <v>0.95812499999999967</v>
      </c>
      <c r="AG27" s="615"/>
    </row>
    <row r="28" spans="1:33" ht="15.75" customHeight="1">
      <c r="A28" s="643" t="s">
        <v>269</v>
      </c>
      <c r="B28" s="29" t="s">
        <v>271</v>
      </c>
      <c r="C28" s="618"/>
      <c r="D28" s="618"/>
      <c r="E28" s="387"/>
      <c r="F28" s="398"/>
      <c r="G28" s="385"/>
      <c r="H28" s="398"/>
      <c r="I28" s="23">
        <v>16.714285714285715</v>
      </c>
      <c r="J28" s="31">
        <v>1928.5714285714287</v>
      </c>
      <c r="K28" s="12">
        <f t="shared" si="1"/>
        <v>115.38461538461539</v>
      </c>
      <c r="L28" s="23">
        <v>16.714285714285715</v>
      </c>
      <c r="M28" s="13">
        <f>AVERAGE(M21:M27)</f>
        <v>1849.6764741181198</v>
      </c>
      <c r="N28" s="12">
        <f t="shared" si="3"/>
        <v>110.66440443441742</v>
      </c>
      <c r="O28" s="14">
        <f t="shared" si="4"/>
        <v>0</v>
      </c>
      <c r="P28" s="15">
        <f t="shared" si="5"/>
        <v>-4.7202109501979663</v>
      </c>
      <c r="Q28" s="384">
        <f t="shared" si="6"/>
        <v>0.95909150509828434</v>
      </c>
      <c r="R28" s="615"/>
      <c r="S28" s="34"/>
      <c r="T28" s="34"/>
      <c r="U28" s="12"/>
      <c r="V28" s="396"/>
      <c r="W28" s="12"/>
      <c r="X28" s="12"/>
      <c r="Y28" s="24">
        <f>SUM(Y21:Y27)</f>
        <v>0</v>
      </c>
      <c r="Z28" s="24">
        <f>SUM(Z21:Z27)</f>
        <v>0</v>
      </c>
      <c r="AA28" s="614"/>
      <c r="AB28" s="614"/>
      <c r="AC28" s="24">
        <v>7</v>
      </c>
      <c r="AD28" s="24">
        <f>SUM(AD21:AD27)</f>
        <v>0</v>
      </c>
      <c r="AE28" s="14">
        <f t="shared" si="8"/>
        <v>-78.894954453308856</v>
      </c>
      <c r="AF28" s="384">
        <f t="shared" si="9"/>
        <v>0.95909150509828434</v>
      </c>
      <c r="AG28" s="615"/>
    </row>
    <row r="29" spans="1:33" ht="15.75" customHeight="1">
      <c r="A29" s="641" t="s">
        <v>361</v>
      </c>
      <c r="B29" s="29" t="s">
        <v>32</v>
      </c>
      <c r="C29" s="640" t="s">
        <v>33</v>
      </c>
      <c r="D29" s="640"/>
      <c r="E29" s="29">
        <v>31.29</v>
      </c>
      <c r="F29" s="398">
        <v>6766</v>
      </c>
      <c r="G29" s="385">
        <f t="shared" ref="G29:G33" si="23">E29*F29</f>
        <v>211708.13999999998</v>
      </c>
      <c r="H29" s="33" t="s">
        <v>57</v>
      </c>
      <c r="I29" s="395">
        <v>18</v>
      </c>
      <c r="J29" s="31">
        <v>2400</v>
      </c>
      <c r="K29" s="12">
        <f t="shared" si="1"/>
        <v>133.33333333333334</v>
      </c>
      <c r="L29" s="395">
        <v>18</v>
      </c>
      <c r="M29" s="13">
        <f t="shared" ref="M29:M33" si="24">F29/V29*60</f>
        <v>2293.5593220338988</v>
      </c>
      <c r="N29" s="12">
        <f t="shared" si="3"/>
        <v>127.4199623352166</v>
      </c>
      <c r="O29" s="14">
        <f t="shared" si="4"/>
        <v>0</v>
      </c>
      <c r="P29" s="15">
        <f t="shared" si="5"/>
        <v>-5.913370998116747</v>
      </c>
      <c r="Q29" s="384">
        <f t="shared" si="6"/>
        <v>0.95564971751412442</v>
      </c>
      <c r="R29" s="615">
        <f>Q34</f>
        <v>0.95756216239709302</v>
      </c>
      <c r="S29" s="34">
        <v>8.3333333333333329E-2</v>
      </c>
      <c r="T29" s="34">
        <v>0.20624999999999999</v>
      </c>
      <c r="U29" s="385"/>
      <c r="V29" s="396">
        <f t="shared" ref="V29:V33" si="25">(T29-S29)*24*60</f>
        <v>176.99999999999997</v>
      </c>
      <c r="W29" s="16">
        <f>T29</f>
        <v>0.20624999999999999</v>
      </c>
      <c r="X29" s="16">
        <f>S30</f>
        <v>0.22569444444444442</v>
      </c>
      <c r="Y29" s="16"/>
      <c r="Z29" s="16"/>
      <c r="AA29" s="617"/>
      <c r="AB29" s="617"/>
      <c r="AC29" s="18">
        <v>5</v>
      </c>
      <c r="AD29" s="18"/>
      <c r="AE29" s="14">
        <f t="shared" si="8"/>
        <v>-106.44067796610125</v>
      </c>
      <c r="AF29" s="384">
        <f t="shared" si="9"/>
        <v>0.95564971751412453</v>
      </c>
      <c r="AG29" s="615">
        <f>AF34</f>
        <v>0.9575621623970928</v>
      </c>
    </row>
    <row r="30" spans="1:33" ht="15.75" customHeight="1">
      <c r="A30" s="641" t="s">
        <v>361</v>
      </c>
      <c r="B30" s="29" t="s">
        <v>32</v>
      </c>
      <c r="C30" s="640" t="s">
        <v>34</v>
      </c>
      <c r="D30" s="640"/>
      <c r="E30" s="29">
        <v>26.37</v>
      </c>
      <c r="F30" s="398">
        <v>4722</v>
      </c>
      <c r="G30" s="385">
        <f t="shared" si="23"/>
        <v>124519.14</v>
      </c>
      <c r="H30" s="33" t="s">
        <v>57</v>
      </c>
      <c r="I30" s="395">
        <v>18</v>
      </c>
      <c r="J30" s="31">
        <v>2400</v>
      </c>
      <c r="K30" s="12">
        <f t="shared" si="1"/>
        <v>133.33333333333334</v>
      </c>
      <c r="L30" s="395">
        <v>18</v>
      </c>
      <c r="M30" s="13">
        <f t="shared" si="24"/>
        <v>2284.8387096774186</v>
      </c>
      <c r="N30" s="12">
        <f t="shared" si="3"/>
        <v>126.9354838709677</v>
      </c>
      <c r="O30" s="14">
        <f t="shared" si="4"/>
        <v>0</v>
      </c>
      <c r="P30" s="15">
        <f t="shared" si="5"/>
        <v>-6.3978494623656417</v>
      </c>
      <c r="Q30" s="384">
        <f t="shared" si="6"/>
        <v>0.95201612903225774</v>
      </c>
      <c r="R30" s="615"/>
      <c r="S30" s="34">
        <v>0.22569444444444442</v>
      </c>
      <c r="T30" s="34">
        <v>0.31180555555555556</v>
      </c>
      <c r="U30" s="385">
        <f t="shared" ref="U30:U33" si="26">(S30-T29)*24*60</f>
        <v>27.999999999999979</v>
      </c>
      <c r="V30" s="396">
        <f t="shared" si="25"/>
        <v>124.00000000000004</v>
      </c>
      <c r="W30" s="16"/>
      <c r="X30" s="16"/>
      <c r="Y30" s="16"/>
      <c r="Z30" s="16"/>
      <c r="AA30" s="617"/>
      <c r="AB30" s="617"/>
      <c r="AC30" s="18"/>
      <c r="AD30" s="18"/>
      <c r="AE30" s="14">
        <f t="shared" si="8"/>
        <v>-115.16129032258141</v>
      </c>
      <c r="AF30" s="384">
        <f t="shared" si="9"/>
        <v>0.95201612903225774</v>
      </c>
      <c r="AG30" s="615"/>
    </row>
    <row r="31" spans="1:33" ht="15.75" customHeight="1">
      <c r="A31" s="641" t="s">
        <v>361</v>
      </c>
      <c r="B31" s="29" t="s">
        <v>32</v>
      </c>
      <c r="C31" s="640" t="s">
        <v>76</v>
      </c>
      <c r="D31" s="640"/>
      <c r="E31" s="29">
        <v>26.18</v>
      </c>
      <c r="F31" s="398">
        <v>5858</v>
      </c>
      <c r="G31" s="385">
        <f t="shared" si="23"/>
        <v>153362.44</v>
      </c>
      <c r="H31" s="33" t="s">
        <v>57</v>
      </c>
      <c r="I31" s="395">
        <v>18</v>
      </c>
      <c r="J31" s="31">
        <v>2400</v>
      </c>
      <c r="K31" s="12">
        <f t="shared" si="1"/>
        <v>133.33333333333334</v>
      </c>
      <c r="L31" s="395">
        <v>18</v>
      </c>
      <c r="M31" s="13">
        <f t="shared" si="24"/>
        <v>2297.2549019607836</v>
      </c>
      <c r="N31" s="12">
        <f t="shared" si="3"/>
        <v>127.62527233115465</v>
      </c>
      <c r="O31" s="14">
        <f t="shared" si="4"/>
        <v>0</v>
      </c>
      <c r="P31" s="15">
        <f t="shared" si="5"/>
        <v>-5.7080610021786953</v>
      </c>
      <c r="Q31" s="384">
        <f t="shared" si="6"/>
        <v>0.95718954248365984</v>
      </c>
      <c r="R31" s="615"/>
      <c r="S31" s="34">
        <v>0.31736111111111109</v>
      </c>
      <c r="T31" s="34">
        <v>0.4236111111111111</v>
      </c>
      <c r="U31" s="385">
        <f t="shared" si="26"/>
        <v>7.9999999999999716</v>
      </c>
      <c r="V31" s="396">
        <f t="shared" si="25"/>
        <v>153.00000000000003</v>
      </c>
      <c r="W31" s="16"/>
      <c r="X31" s="16"/>
      <c r="Y31" s="16"/>
      <c r="Z31" s="16"/>
      <c r="AA31" s="617"/>
      <c r="AB31" s="617"/>
      <c r="AC31" s="18"/>
      <c r="AD31" s="18"/>
      <c r="AE31" s="14">
        <f t="shared" si="8"/>
        <v>-102.74509803921637</v>
      </c>
      <c r="AF31" s="384">
        <f t="shared" si="9"/>
        <v>0.95718954248365984</v>
      </c>
      <c r="AG31" s="615"/>
    </row>
    <row r="32" spans="1:33" ht="15.75" customHeight="1">
      <c r="A32" s="641" t="s">
        <v>361</v>
      </c>
      <c r="B32" s="29" t="s">
        <v>32</v>
      </c>
      <c r="C32" s="640" t="s">
        <v>79</v>
      </c>
      <c r="D32" s="640"/>
      <c r="E32" s="29">
        <v>25.99</v>
      </c>
      <c r="F32" s="398">
        <v>1427</v>
      </c>
      <c r="G32" s="385">
        <f t="shared" si="23"/>
        <v>37087.729999999996</v>
      </c>
      <c r="H32" s="33" t="s">
        <v>57</v>
      </c>
      <c r="I32" s="395">
        <v>18</v>
      </c>
      <c r="J32" s="31">
        <v>2400</v>
      </c>
      <c r="K32" s="12">
        <f t="shared" si="1"/>
        <v>133.33333333333334</v>
      </c>
      <c r="L32" s="395">
        <v>18</v>
      </c>
      <c r="M32" s="13">
        <f t="shared" si="24"/>
        <v>2314.0540540540524</v>
      </c>
      <c r="N32" s="12">
        <f t="shared" si="3"/>
        <v>128.55855855855847</v>
      </c>
      <c r="O32" s="14">
        <f t="shared" si="4"/>
        <v>0</v>
      </c>
      <c r="P32" s="15">
        <f t="shared" si="5"/>
        <v>-4.774774774774869</v>
      </c>
      <c r="Q32" s="384">
        <f t="shared" si="6"/>
        <v>0.9641891891891885</v>
      </c>
      <c r="R32" s="615"/>
      <c r="S32" s="34">
        <v>0.42777777777777776</v>
      </c>
      <c r="T32" s="34">
        <v>0.45347222222222222</v>
      </c>
      <c r="U32" s="385">
        <f t="shared" si="26"/>
        <v>5.9999999999999787</v>
      </c>
      <c r="V32" s="396">
        <f t="shared" si="25"/>
        <v>37.000000000000028</v>
      </c>
      <c r="W32" s="16"/>
      <c r="X32" s="16"/>
      <c r="Y32" s="16"/>
      <c r="Z32" s="16"/>
      <c r="AA32" s="617"/>
      <c r="AB32" s="617"/>
      <c r="AC32" s="18"/>
      <c r="AD32" s="18"/>
      <c r="AE32" s="14">
        <f t="shared" si="8"/>
        <v>-85.945945945947642</v>
      </c>
      <c r="AF32" s="384">
        <f t="shared" si="9"/>
        <v>0.9641891891891885</v>
      </c>
      <c r="AG32" s="615"/>
    </row>
    <row r="33" spans="1:33" ht="15.75" customHeight="1">
      <c r="A33" s="641" t="s">
        <v>361</v>
      </c>
      <c r="B33" s="29" t="s">
        <v>32</v>
      </c>
      <c r="C33" s="640" t="s">
        <v>35</v>
      </c>
      <c r="D33" s="640"/>
      <c r="E33" s="29">
        <v>25.99</v>
      </c>
      <c r="F33" s="398">
        <v>2953</v>
      </c>
      <c r="G33" s="385">
        <f t="shared" si="23"/>
        <v>76748.47</v>
      </c>
      <c r="H33" s="33" t="s">
        <v>57</v>
      </c>
      <c r="I33" s="395">
        <v>14</v>
      </c>
      <c r="J33" s="31">
        <v>2400</v>
      </c>
      <c r="K33" s="12">
        <f t="shared" si="1"/>
        <v>171.42857142857142</v>
      </c>
      <c r="L33" s="395">
        <v>14</v>
      </c>
      <c r="M33" s="13">
        <f t="shared" si="24"/>
        <v>2301.0389610389616</v>
      </c>
      <c r="N33" s="12">
        <f t="shared" si="3"/>
        <v>164.35992578849726</v>
      </c>
      <c r="O33" s="14">
        <f t="shared" si="4"/>
        <v>0</v>
      </c>
      <c r="P33" s="15">
        <f t="shared" si="5"/>
        <v>-7.068645640074152</v>
      </c>
      <c r="Q33" s="384">
        <f t="shared" si="6"/>
        <v>0.95876623376623415</v>
      </c>
      <c r="R33" s="615"/>
      <c r="S33" s="34">
        <v>0.45763888888888887</v>
      </c>
      <c r="T33" s="34">
        <v>0.51111111111111107</v>
      </c>
      <c r="U33" s="385">
        <f t="shared" si="26"/>
        <v>5.9999999999999787</v>
      </c>
      <c r="V33" s="396">
        <f t="shared" si="25"/>
        <v>76.999999999999972</v>
      </c>
      <c r="W33" s="16"/>
      <c r="X33" s="16"/>
      <c r="Y33" s="16"/>
      <c r="Z33" s="16"/>
      <c r="AA33" s="617"/>
      <c r="AB33" s="617"/>
      <c r="AC33" s="18"/>
      <c r="AD33" s="18"/>
      <c r="AE33" s="14">
        <f t="shared" si="8"/>
        <v>-98.961038961038412</v>
      </c>
      <c r="AF33" s="384">
        <f t="shared" si="9"/>
        <v>0.95876623376623404</v>
      </c>
      <c r="AG33" s="615"/>
    </row>
    <row r="34" spans="1:33" ht="15.75" customHeight="1">
      <c r="A34" s="641" t="s">
        <v>361</v>
      </c>
      <c r="B34" s="29" t="s">
        <v>271</v>
      </c>
      <c r="C34" s="618"/>
      <c r="D34" s="618"/>
      <c r="E34" s="387"/>
      <c r="F34" s="398"/>
      <c r="G34" s="385"/>
      <c r="H34" s="398"/>
      <c r="I34" s="23">
        <v>17.2</v>
      </c>
      <c r="J34" s="31">
        <v>2400</v>
      </c>
      <c r="K34" s="12">
        <f t="shared" si="1"/>
        <v>139.53488372093022</v>
      </c>
      <c r="L34" s="23">
        <v>17.2</v>
      </c>
      <c r="M34" s="13">
        <f>AVERAGE(M29:M33)</f>
        <v>2298.1491897530227</v>
      </c>
      <c r="N34" s="12">
        <f t="shared" si="3"/>
        <v>133.61332498564087</v>
      </c>
      <c r="O34" s="14">
        <f t="shared" si="4"/>
        <v>0</v>
      </c>
      <c r="P34" s="15">
        <f t="shared" si="5"/>
        <v>-5.9215587352893522</v>
      </c>
      <c r="Q34" s="384">
        <f t="shared" si="6"/>
        <v>0.95756216239709302</v>
      </c>
      <c r="R34" s="615"/>
      <c r="S34" s="34"/>
      <c r="T34" s="34"/>
      <c r="U34" s="385"/>
      <c r="V34" s="396"/>
      <c r="W34" s="385"/>
      <c r="X34" s="385"/>
      <c r="Y34" s="24">
        <f>SUM(Y29:Y33)</f>
        <v>0</v>
      </c>
      <c r="Z34" s="24">
        <f>SUM(Z29:Z33)</f>
        <v>0</v>
      </c>
      <c r="AA34" s="614"/>
      <c r="AB34" s="614"/>
      <c r="AC34" s="24">
        <v>5</v>
      </c>
      <c r="AD34" s="24">
        <f>SUM(AD29:AD33)</f>
        <v>0</v>
      </c>
      <c r="AE34" s="14">
        <f t="shared" si="8"/>
        <v>-101.85081024697729</v>
      </c>
      <c r="AF34" s="384">
        <f t="shared" si="9"/>
        <v>0.9575621623970928</v>
      </c>
      <c r="AG34" s="615"/>
    </row>
    <row r="35" spans="1:33" ht="15.75" customHeight="1">
      <c r="A35" s="638" t="s">
        <v>1832</v>
      </c>
      <c r="B35" s="29" t="s">
        <v>32</v>
      </c>
      <c r="C35" s="616" t="s">
        <v>77</v>
      </c>
      <c r="D35" s="616"/>
      <c r="E35" s="29">
        <v>26.18</v>
      </c>
      <c r="F35" s="398">
        <v>4594</v>
      </c>
      <c r="G35" s="385">
        <f t="shared" ref="G35:G39" si="27">E35*F35</f>
        <v>120270.92</v>
      </c>
      <c r="H35" s="33" t="s">
        <v>57</v>
      </c>
      <c r="I35" s="395">
        <v>20</v>
      </c>
      <c r="J35" s="31">
        <v>2400</v>
      </c>
      <c r="K35" s="12">
        <f t="shared" si="1"/>
        <v>120</v>
      </c>
      <c r="L35" s="395">
        <v>20</v>
      </c>
      <c r="M35" s="13">
        <f t="shared" ref="M35:M39" si="28">F35/V35*60</f>
        <v>2297</v>
      </c>
      <c r="N35" s="12">
        <f t="shared" si="3"/>
        <v>114.85</v>
      </c>
      <c r="O35" s="14">
        <f t="shared" si="4"/>
        <v>0</v>
      </c>
      <c r="P35" s="15">
        <f t="shared" si="5"/>
        <v>-5.1500000000000057</v>
      </c>
      <c r="Q35" s="384">
        <f t="shared" si="6"/>
        <v>0.95708333333333329</v>
      </c>
      <c r="R35" s="615">
        <f>Q40</f>
        <v>0.95562840187780418</v>
      </c>
      <c r="S35" s="34">
        <v>8.3333333333333329E-2</v>
      </c>
      <c r="T35" s="34">
        <v>0.16666666666666666</v>
      </c>
      <c r="U35" s="385"/>
      <c r="V35" s="396">
        <f t="shared" ref="V35:V39" si="29">(T35-S35)*24*60</f>
        <v>120</v>
      </c>
      <c r="W35" s="21">
        <f>T35</f>
        <v>0.16666666666666666</v>
      </c>
      <c r="X35" s="21">
        <f>S36</f>
        <v>0.18611111111111112</v>
      </c>
      <c r="Y35" s="21"/>
      <c r="Z35" s="21"/>
      <c r="AA35" s="617"/>
      <c r="AB35" s="617"/>
      <c r="AC35" s="18">
        <v>5</v>
      </c>
      <c r="AD35" s="18"/>
      <c r="AE35" s="14">
        <f t="shared" si="8"/>
        <v>-103</v>
      </c>
      <c r="AF35" s="384">
        <f t="shared" si="9"/>
        <v>0.95708333333333329</v>
      </c>
      <c r="AG35" s="615">
        <f>AF40</f>
        <v>0.95562840187780418</v>
      </c>
    </row>
    <row r="36" spans="1:33" ht="15.75" customHeight="1">
      <c r="A36" s="638" t="s">
        <v>1832</v>
      </c>
      <c r="B36" s="29" t="s">
        <v>32</v>
      </c>
      <c r="C36" s="616" t="s">
        <v>37</v>
      </c>
      <c r="D36" s="616"/>
      <c r="E36" s="29">
        <v>24.43</v>
      </c>
      <c r="F36" s="398">
        <v>4623</v>
      </c>
      <c r="G36" s="385">
        <f t="shared" si="27"/>
        <v>112939.89</v>
      </c>
      <c r="H36" s="33" t="s">
        <v>57</v>
      </c>
      <c r="I36" s="395">
        <v>14</v>
      </c>
      <c r="J36" s="31">
        <v>2400</v>
      </c>
      <c r="K36" s="12">
        <f t="shared" si="1"/>
        <v>171.42857142857142</v>
      </c>
      <c r="L36" s="395">
        <v>14</v>
      </c>
      <c r="M36" s="13">
        <f t="shared" si="28"/>
        <v>2292.3966942148768</v>
      </c>
      <c r="N36" s="12">
        <f t="shared" si="3"/>
        <v>163.74262101534833</v>
      </c>
      <c r="O36" s="14">
        <f t="shared" si="4"/>
        <v>0</v>
      </c>
      <c r="P36" s="15">
        <f t="shared" si="5"/>
        <v>-7.6859504132230825</v>
      </c>
      <c r="Q36" s="384">
        <f t="shared" si="6"/>
        <v>0.9551652892561987</v>
      </c>
      <c r="R36" s="615"/>
      <c r="S36" s="34">
        <v>0.18611111111111112</v>
      </c>
      <c r="T36" s="34">
        <v>0.27013888888888887</v>
      </c>
      <c r="U36" s="385">
        <f t="shared" ref="U36:U39" si="30">(S36-T35)*24*60</f>
        <v>28.000000000000021</v>
      </c>
      <c r="V36" s="396">
        <f t="shared" si="29"/>
        <v>120.99999999999997</v>
      </c>
      <c r="W36" s="385"/>
      <c r="X36" s="385"/>
      <c r="Y36" s="385"/>
      <c r="Z36" s="385"/>
      <c r="AA36" s="617"/>
      <c r="AB36" s="617"/>
      <c r="AC36" s="18"/>
      <c r="AD36" s="18"/>
      <c r="AE36" s="14">
        <f t="shared" si="8"/>
        <v>-107.60330578512321</v>
      </c>
      <c r="AF36" s="384">
        <f t="shared" si="9"/>
        <v>0.9551652892561987</v>
      </c>
      <c r="AG36" s="615"/>
    </row>
    <row r="37" spans="1:33">
      <c r="A37" s="639" t="s">
        <v>1832</v>
      </c>
      <c r="B37" s="29" t="s">
        <v>32</v>
      </c>
      <c r="C37" s="616" t="s">
        <v>38</v>
      </c>
      <c r="D37" s="616"/>
      <c r="E37" s="29">
        <v>25.98</v>
      </c>
      <c r="F37" s="398">
        <v>2133</v>
      </c>
      <c r="G37" s="385">
        <f t="shared" si="27"/>
        <v>55415.340000000004</v>
      </c>
      <c r="H37" s="33" t="s">
        <v>57</v>
      </c>
      <c r="I37" s="395">
        <v>21</v>
      </c>
      <c r="J37" s="31">
        <v>2400</v>
      </c>
      <c r="K37" s="12">
        <f t="shared" si="1"/>
        <v>114.28571428571429</v>
      </c>
      <c r="L37" s="395">
        <v>21</v>
      </c>
      <c r="M37" s="13">
        <f t="shared" si="28"/>
        <v>2285.3571428571413</v>
      </c>
      <c r="N37" s="12">
        <f t="shared" si="3"/>
        <v>108.82653061224482</v>
      </c>
      <c r="O37" s="14">
        <f t="shared" si="4"/>
        <v>0</v>
      </c>
      <c r="P37" s="15">
        <f t="shared" si="5"/>
        <v>-5.4591836734694681</v>
      </c>
      <c r="Q37" s="384">
        <f t="shared" si="6"/>
        <v>0.95223214285714219</v>
      </c>
      <c r="R37" s="615"/>
      <c r="S37" s="34">
        <v>0.27569444444444441</v>
      </c>
      <c r="T37" s="34">
        <v>0.31458333333333333</v>
      </c>
      <c r="U37" s="385">
        <f t="shared" si="30"/>
        <v>7.9999999999999716</v>
      </c>
      <c r="V37" s="396">
        <f t="shared" si="29"/>
        <v>56.000000000000043</v>
      </c>
      <c r="W37" s="385"/>
      <c r="X37" s="385"/>
      <c r="Y37" s="385"/>
      <c r="Z37" s="385"/>
      <c r="AA37" s="617"/>
      <c r="AB37" s="617"/>
      <c r="AC37" s="18"/>
      <c r="AD37" s="18"/>
      <c r="AE37" s="14">
        <f t="shared" si="8"/>
        <v>-114.6428571428587</v>
      </c>
      <c r="AF37" s="384">
        <f t="shared" si="9"/>
        <v>0.95223214285714219</v>
      </c>
      <c r="AG37" s="615"/>
    </row>
    <row r="38" spans="1:33">
      <c r="A38" s="639" t="s">
        <v>1832</v>
      </c>
      <c r="B38" s="29" t="s">
        <v>32</v>
      </c>
      <c r="C38" s="616" t="s">
        <v>39</v>
      </c>
      <c r="D38" s="616"/>
      <c r="E38" s="29">
        <v>34.1</v>
      </c>
      <c r="F38" s="398">
        <v>5031</v>
      </c>
      <c r="G38" s="385">
        <f t="shared" si="27"/>
        <v>171557.1</v>
      </c>
      <c r="H38" s="33" t="s">
        <v>57</v>
      </c>
      <c r="I38" s="395">
        <v>17</v>
      </c>
      <c r="J38" s="31">
        <v>1600</v>
      </c>
      <c r="K38" s="12">
        <f t="shared" si="1"/>
        <v>94.117647058823536</v>
      </c>
      <c r="L38" s="395">
        <v>17</v>
      </c>
      <c r="M38" s="13">
        <f t="shared" si="28"/>
        <v>1532.2842639593912</v>
      </c>
      <c r="N38" s="12">
        <f t="shared" si="3"/>
        <v>90.134368468199483</v>
      </c>
      <c r="O38" s="14">
        <f t="shared" si="4"/>
        <v>0</v>
      </c>
      <c r="P38" s="15">
        <f t="shared" si="5"/>
        <v>-3.9832785906240531</v>
      </c>
      <c r="Q38" s="384">
        <f t="shared" si="6"/>
        <v>0.95767766497461948</v>
      </c>
      <c r="R38" s="615"/>
      <c r="S38" s="34">
        <v>0.31944444444444442</v>
      </c>
      <c r="T38" s="34">
        <v>0.45624999999999993</v>
      </c>
      <c r="U38" s="385">
        <f t="shared" si="30"/>
        <v>6.9999999999999751</v>
      </c>
      <c r="V38" s="396">
        <f t="shared" si="29"/>
        <v>196.99999999999994</v>
      </c>
      <c r="W38" s="16"/>
      <c r="X38" s="16"/>
      <c r="Y38" s="16"/>
      <c r="Z38" s="16"/>
      <c r="AA38" s="617"/>
      <c r="AB38" s="617"/>
      <c r="AC38" s="18"/>
      <c r="AD38" s="18"/>
      <c r="AE38" s="14">
        <f t="shared" si="8"/>
        <v>-67.715736040608817</v>
      </c>
      <c r="AF38" s="384">
        <f t="shared" si="9"/>
        <v>0.95767766497461948</v>
      </c>
      <c r="AG38" s="615"/>
    </row>
    <row r="39" spans="1:33">
      <c r="A39" s="639" t="s">
        <v>1832</v>
      </c>
      <c r="B39" s="29" t="s">
        <v>32</v>
      </c>
      <c r="C39" s="616" t="s">
        <v>84</v>
      </c>
      <c r="D39" s="616"/>
      <c r="E39" s="29">
        <v>20.21</v>
      </c>
      <c r="F39" s="398">
        <v>2870</v>
      </c>
      <c r="G39" s="385">
        <f t="shared" si="27"/>
        <v>58002.700000000004</v>
      </c>
      <c r="H39" s="33" t="s">
        <v>57</v>
      </c>
      <c r="I39" s="395">
        <v>18</v>
      </c>
      <c r="J39" s="31">
        <v>2400</v>
      </c>
      <c r="K39" s="12">
        <f t="shared" si="1"/>
        <v>133.33333333333334</v>
      </c>
      <c r="L39" s="395">
        <v>18</v>
      </c>
      <c r="M39" s="13">
        <f t="shared" si="28"/>
        <v>2295.9999999999982</v>
      </c>
      <c r="N39" s="12">
        <f t="shared" si="3"/>
        <v>127.55555555555546</v>
      </c>
      <c r="O39" s="14">
        <f t="shared" si="4"/>
        <v>0</v>
      </c>
      <c r="P39" s="15">
        <f t="shared" si="5"/>
        <v>-5.7777777777778851</v>
      </c>
      <c r="Q39" s="384">
        <f t="shared" si="6"/>
        <v>0.95666666666666589</v>
      </c>
      <c r="R39" s="615"/>
      <c r="S39" s="34">
        <v>0.46041666666666659</v>
      </c>
      <c r="T39" s="34">
        <v>0.51249999999999996</v>
      </c>
      <c r="U39" s="385">
        <f t="shared" si="30"/>
        <v>5.9999999999999787</v>
      </c>
      <c r="V39" s="396">
        <f t="shared" si="29"/>
        <v>75.000000000000057</v>
      </c>
      <c r="W39" s="16"/>
      <c r="X39" s="16"/>
      <c r="Y39" s="16"/>
      <c r="Z39" s="16"/>
      <c r="AA39" s="617"/>
      <c r="AB39" s="617"/>
      <c r="AC39" s="18"/>
      <c r="AD39" s="18"/>
      <c r="AE39" s="14">
        <f t="shared" si="8"/>
        <v>-104.00000000000182</v>
      </c>
      <c r="AF39" s="384">
        <f t="shared" si="9"/>
        <v>0.95666666666666589</v>
      </c>
      <c r="AG39" s="615"/>
    </row>
    <row r="40" spans="1:33">
      <c r="A40" s="639" t="s">
        <v>1832</v>
      </c>
      <c r="B40" s="30" t="s">
        <v>271</v>
      </c>
      <c r="C40" s="618"/>
      <c r="D40" s="618"/>
      <c r="E40" s="387"/>
      <c r="F40" s="30"/>
      <c r="G40" s="12"/>
      <c r="H40" s="398"/>
      <c r="I40" s="23">
        <v>18</v>
      </c>
      <c r="J40" s="31">
        <v>2240</v>
      </c>
      <c r="K40" s="12">
        <f t="shared" si="1"/>
        <v>124.44444444444444</v>
      </c>
      <c r="L40" s="23">
        <v>18</v>
      </c>
      <c r="M40" s="13">
        <f>AVERAGE(M35:M39)</f>
        <v>2140.6076202062814</v>
      </c>
      <c r="N40" s="12">
        <f t="shared" si="3"/>
        <v>118.92264556701564</v>
      </c>
      <c r="O40" s="14">
        <f t="shared" si="4"/>
        <v>0</v>
      </c>
      <c r="P40" s="15">
        <f t="shared" si="5"/>
        <v>-5.5217988774288074</v>
      </c>
      <c r="Q40" s="384">
        <f t="shared" si="6"/>
        <v>0.95562840187780418</v>
      </c>
      <c r="R40" s="615"/>
      <c r="S40" s="34"/>
      <c r="T40" s="34"/>
      <c r="U40" s="12"/>
      <c r="V40" s="396"/>
      <c r="W40" s="12"/>
      <c r="X40" s="12"/>
      <c r="Y40" s="24">
        <f>SUM(Y35:Y39)</f>
        <v>0</v>
      </c>
      <c r="Z40" s="24">
        <f>SUM(Z35:Z39)</f>
        <v>0</v>
      </c>
      <c r="AA40" s="614"/>
      <c r="AB40" s="614"/>
      <c r="AC40" s="24">
        <v>5</v>
      </c>
      <c r="AD40" s="24">
        <f>SUM(AD35:AD39)</f>
        <v>0</v>
      </c>
      <c r="AE40" s="14">
        <f t="shared" si="8"/>
        <v>-99.392379793718646</v>
      </c>
      <c r="AF40" s="384">
        <f t="shared" si="9"/>
        <v>0.95562840187780418</v>
      </c>
      <c r="AG40" s="615"/>
    </row>
    <row r="41" spans="1:33" ht="15.75" customHeight="1">
      <c r="A41" s="632" t="s">
        <v>1833</v>
      </c>
      <c r="B41" s="29" t="s">
        <v>40</v>
      </c>
      <c r="C41" s="622" t="s">
        <v>41</v>
      </c>
      <c r="D41" s="623"/>
      <c r="E41" s="29">
        <v>37.880000000000003</v>
      </c>
      <c r="F41" s="398">
        <v>672</v>
      </c>
      <c r="G41" s="385">
        <f t="shared" ref="G41:G44" si="31">E41*F41</f>
        <v>25455.360000000001</v>
      </c>
      <c r="H41" s="33" t="s">
        <v>57</v>
      </c>
      <c r="I41" s="395">
        <v>13</v>
      </c>
      <c r="J41" s="31">
        <v>2000</v>
      </c>
      <c r="K41" s="12">
        <f t="shared" si="1"/>
        <v>153.84615384615384</v>
      </c>
      <c r="L41" s="395">
        <v>13</v>
      </c>
      <c r="M41" s="13">
        <f t="shared" ref="M41:M44" si="32">F41/V41*60</f>
        <v>1919.9999999999993</v>
      </c>
      <c r="N41" s="13">
        <f t="shared" si="3"/>
        <v>147.69230769230765</v>
      </c>
      <c r="O41" s="14">
        <f t="shared" si="4"/>
        <v>0</v>
      </c>
      <c r="P41" s="15">
        <f t="shared" si="5"/>
        <v>-6.1538461538461888</v>
      </c>
      <c r="Q41" s="384">
        <f t="shared" si="6"/>
        <v>0.95999999999999974</v>
      </c>
      <c r="R41" s="635">
        <f>Q45</f>
        <v>0.95529264533975478</v>
      </c>
      <c r="S41" s="34">
        <v>8.3333333333333329E-2</v>
      </c>
      <c r="T41" s="34">
        <v>9.7916666666666666E-2</v>
      </c>
      <c r="U41" s="21"/>
      <c r="V41" s="396">
        <f t="shared" ref="V41:V44" si="33">(T41-S41)*24*60</f>
        <v>21.000000000000007</v>
      </c>
      <c r="W41" s="16">
        <f>T41</f>
        <v>9.7916666666666666E-2</v>
      </c>
      <c r="X41" s="16">
        <f>S42</f>
        <v>0.11666666666666667</v>
      </c>
      <c r="Y41" s="19"/>
      <c r="Z41" s="19"/>
      <c r="AA41" s="624"/>
      <c r="AB41" s="625"/>
      <c r="AC41" s="18">
        <v>4</v>
      </c>
      <c r="AD41" s="18"/>
      <c r="AE41" s="14">
        <f t="shared" si="8"/>
        <v>-80.000000000000682</v>
      </c>
      <c r="AF41" s="384">
        <f t="shared" si="9"/>
        <v>0.95999999999999963</v>
      </c>
      <c r="AG41" s="635">
        <f>AF45</f>
        <v>0.95529264533975489</v>
      </c>
    </row>
    <row r="42" spans="1:33" ht="15.75" customHeight="1">
      <c r="A42" s="633" t="s">
        <v>1833</v>
      </c>
      <c r="B42" s="29" t="s">
        <v>40</v>
      </c>
      <c r="C42" s="622" t="s">
        <v>42</v>
      </c>
      <c r="D42" s="623"/>
      <c r="E42" s="29">
        <v>35.119999999999997</v>
      </c>
      <c r="F42" s="398">
        <v>4164</v>
      </c>
      <c r="G42" s="385">
        <f t="shared" si="31"/>
        <v>146239.67999999999</v>
      </c>
      <c r="H42" s="33" t="s">
        <v>57</v>
      </c>
      <c r="I42" s="395">
        <v>10</v>
      </c>
      <c r="J42" s="31">
        <v>3000</v>
      </c>
      <c r="K42" s="12">
        <f t="shared" si="1"/>
        <v>300</v>
      </c>
      <c r="L42" s="395">
        <v>10</v>
      </c>
      <c r="M42" s="13">
        <f t="shared" si="32"/>
        <v>2871.724137931034</v>
      </c>
      <c r="N42" s="13">
        <f t="shared" si="3"/>
        <v>287.17241379310337</v>
      </c>
      <c r="O42" s="14">
        <f t="shared" si="4"/>
        <v>0</v>
      </c>
      <c r="P42" s="15">
        <f t="shared" si="5"/>
        <v>-12.827586206896626</v>
      </c>
      <c r="Q42" s="384">
        <f t="shared" si="6"/>
        <v>0.95724137931034459</v>
      </c>
      <c r="R42" s="636"/>
      <c r="S42" s="34">
        <v>0.11666666666666667</v>
      </c>
      <c r="T42" s="34">
        <v>0.17708333333333334</v>
      </c>
      <c r="U42" s="385">
        <f t="shared" ref="U42:U44" si="34">(S42-T41)*24*60</f>
        <v>27.000000000000004</v>
      </c>
      <c r="V42" s="396">
        <f t="shared" si="33"/>
        <v>87.000000000000014</v>
      </c>
      <c r="W42" s="16"/>
      <c r="X42" s="16"/>
      <c r="Y42" s="19"/>
      <c r="Z42" s="19"/>
      <c r="AA42" s="624"/>
      <c r="AB42" s="625"/>
      <c r="AC42" s="18"/>
      <c r="AD42" s="18"/>
      <c r="AE42" s="14">
        <f t="shared" si="8"/>
        <v>-128.27586206896603</v>
      </c>
      <c r="AF42" s="384">
        <f t="shared" si="9"/>
        <v>0.9572413793103447</v>
      </c>
      <c r="AG42" s="636"/>
    </row>
    <row r="43" spans="1:33" ht="15.75" customHeight="1">
      <c r="A43" s="633" t="s">
        <v>1833</v>
      </c>
      <c r="B43" s="29" t="s">
        <v>40</v>
      </c>
      <c r="C43" s="622" t="s">
        <v>43</v>
      </c>
      <c r="D43" s="623"/>
      <c r="E43" s="29">
        <v>21.13</v>
      </c>
      <c r="F43" s="398">
        <v>3622</v>
      </c>
      <c r="G43" s="385">
        <f t="shared" si="31"/>
        <v>76532.86</v>
      </c>
      <c r="H43" s="33" t="s">
        <v>57</v>
      </c>
      <c r="I43" s="395">
        <v>10</v>
      </c>
      <c r="J43" s="31">
        <v>3000</v>
      </c>
      <c r="K43" s="12">
        <f t="shared" si="1"/>
        <v>300</v>
      </c>
      <c r="L43" s="395">
        <v>10</v>
      </c>
      <c r="M43" s="13">
        <f t="shared" si="32"/>
        <v>2859.4736842105258</v>
      </c>
      <c r="N43" s="13">
        <f t="shared" si="3"/>
        <v>285.9473684210526</v>
      </c>
      <c r="O43" s="14">
        <f t="shared" si="4"/>
        <v>0</v>
      </c>
      <c r="P43" s="15">
        <f t="shared" si="5"/>
        <v>-14.052631578947398</v>
      </c>
      <c r="Q43" s="384">
        <f t="shared" si="6"/>
        <v>0.95315789473684198</v>
      </c>
      <c r="R43" s="636"/>
      <c r="S43" s="34">
        <v>0.18125000000000002</v>
      </c>
      <c r="T43" s="34">
        <v>0.23402777777777781</v>
      </c>
      <c r="U43" s="385">
        <f t="shared" si="34"/>
        <v>6.0000000000000187</v>
      </c>
      <c r="V43" s="396">
        <f t="shared" si="33"/>
        <v>76.000000000000014</v>
      </c>
      <c r="W43" s="16"/>
      <c r="X43" s="16"/>
      <c r="Y43" s="19"/>
      <c r="Z43" s="19"/>
      <c r="AA43" s="624"/>
      <c r="AB43" s="625"/>
      <c r="AC43" s="18"/>
      <c r="AD43" s="18"/>
      <c r="AE43" s="14">
        <f t="shared" si="8"/>
        <v>-140.52631578947421</v>
      </c>
      <c r="AF43" s="384">
        <f t="shared" si="9"/>
        <v>0.95315789473684198</v>
      </c>
      <c r="AG43" s="636"/>
    </row>
    <row r="44" spans="1:33" ht="15.75" customHeight="1">
      <c r="A44" s="633" t="s">
        <v>1833</v>
      </c>
      <c r="B44" s="29" t="s">
        <v>40</v>
      </c>
      <c r="C44" s="622" t="s">
        <v>44</v>
      </c>
      <c r="D44" s="623"/>
      <c r="E44" s="29">
        <v>27.17</v>
      </c>
      <c r="F44" s="398">
        <v>4476</v>
      </c>
      <c r="G44" s="385">
        <f t="shared" si="31"/>
        <v>121612.92000000001</v>
      </c>
      <c r="H44" s="33" t="s">
        <v>57</v>
      </c>
      <c r="I44" s="395">
        <v>10</v>
      </c>
      <c r="J44" s="31">
        <v>3000</v>
      </c>
      <c r="K44" s="12">
        <f t="shared" si="1"/>
        <v>300</v>
      </c>
      <c r="L44" s="395">
        <v>10</v>
      </c>
      <c r="M44" s="13">
        <f t="shared" si="32"/>
        <v>2857.0212765957449</v>
      </c>
      <c r="N44" s="13">
        <f t="shared" si="3"/>
        <v>285.7021276595745</v>
      </c>
      <c r="O44" s="14">
        <f t="shared" si="4"/>
        <v>0</v>
      </c>
      <c r="P44" s="15">
        <f t="shared" si="5"/>
        <v>-14.297872340425499</v>
      </c>
      <c r="Q44" s="384">
        <f t="shared" si="6"/>
        <v>0.952340425531915</v>
      </c>
      <c r="R44" s="636"/>
      <c r="S44" s="34">
        <v>0.23958333333333337</v>
      </c>
      <c r="T44" s="34">
        <v>0.30486111111111114</v>
      </c>
      <c r="U44" s="385">
        <f t="shared" si="34"/>
        <v>8.0000000000000107</v>
      </c>
      <c r="V44" s="396">
        <f t="shared" si="33"/>
        <v>93.999999999999986</v>
      </c>
      <c r="W44" s="16"/>
      <c r="X44" s="16"/>
      <c r="Y44" s="19"/>
      <c r="Z44" s="19"/>
      <c r="AA44" s="624"/>
      <c r="AB44" s="625"/>
      <c r="AC44" s="18"/>
      <c r="AD44" s="18"/>
      <c r="AE44" s="14">
        <f t="shared" si="8"/>
        <v>-142.97872340425511</v>
      </c>
      <c r="AF44" s="384">
        <f t="shared" si="9"/>
        <v>0.952340425531915</v>
      </c>
      <c r="AG44" s="636"/>
    </row>
    <row r="45" spans="1:33" ht="15.75" customHeight="1">
      <c r="A45" s="634" t="s">
        <v>1833</v>
      </c>
      <c r="B45" s="29" t="s">
        <v>271</v>
      </c>
      <c r="C45" s="612"/>
      <c r="D45" s="613"/>
      <c r="E45" s="386"/>
      <c r="F45" s="398"/>
      <c r="G45" s="385"/>
      <c r="H45" s="398"/>
      <c r="I45" s="23">
        <v>10.75</v>
      </c>
      <c r="J45" s="31">
        <v>2750</v>
      </c>
      <c r="K45" s="12">
        <f t="shared" si="1"/>
        <v>255.81395348837211</v>
      </c>
      <c r="L45" s="23">
        <v>10.75</v>
      </c>
      <c r="M45" s="13">
        <f>AVERAGE(M41:M44)</f>
        <v>2627.0547746843258</v>
      </c>
      <c r="N45" s="12">
        <f t="shared" si="3"/>
        <v>244.37718834272798</v>
      </c>
      <c r="O45" s="14">
        <f t="shared" si="4"/>
        <v>0</v>
      </c>
      <c r="P45" s="15">
        <f t="shared" si="5"/>
        <v>-11.436765145644131</v>
      </c>
      <c r="Q45" s="384">
        <f t="shared" si="6"/>
        <v>0.95529264533975478</v>
      </c>
      <c r="R45" s="637"/>
      <c r="S45" s="34"/>
      <c r="T45" s="34"/>
      <c r="U45" s="385"/>
      <c r="V45" s="396"/>
      <c r="W45" s="16"/>
      <c r="X45" s="16"/>
      <c r="Y45" s="24">
        <f>SUM(Y41:Y44)</f>
        <v>0</v>
      </c>
      <c r="Z45" s="24">
        <f>SUM(Z41:Z44)</f>
        <v>0</v>
      </c>
      <c r="AA45" s="628"/>
      <c r="AB45" s="629"/>
      <c r="AC45" s="24">
        <v>4</v>
      </c>
      <c r="AD45" s="24">
        <f>SUM(AD41:AD44)</f>
        <v>0</v>
      </c>
      <c r="AE45" s="14">
        <f t="shared" si="8"/>
        <v>-122.94522531567418</v>
      </c>
      <c r="AF45" s="384">
        <f t="shared" si="9"/>
        <v>0.95529264533975489</v>
      </c>
      <c r="AG45" s="637"/>
    </row>
    <row r="46" spans="1:33" ht="15.75" customHeight="1">
      <c r="A46" s="630" t="s">
        <v>1834</v>
      </c>
      <c r="B46" s="29" t="s">
        <v>15</v>
      </c>
      <c r="C46" s="616" t="s">
        <v>46</v>
      </c>
      <c r="D46" s="616"/>
      <c r="E46" s="29">
        <v>56.43</v>
      </c>
      <c r="F46" s="32">
        <v>1157</v>
      </c>
      <c r="G46" s="385">
        <f t="shared" ref="G46:G52" si="35">E46*F46</f>
        <v>65289.51</v>
      </c>
      <c r="H46" s="33" t="s">
        <v>57</v>
      </c>
      <c r="I46" s="395">
        <v>22</v>
      </c>
      <c r="J46" s="31">
        <v>2000</v>
      </c>
      <c r="K46" s="12">
        <f t="shared" si="1"/>
        <v>90.909090909090907</v>
      </c>
      <c r="L46" s="395">
        <v>22</v>
      </c>
      <c r="M46" s="13">
        <f t="shared" ref="M46" si="36">F46/V46*60</f>
        <v>1928.3333333333335</v>
      </c>
      <c r="N46" s="13">
        <f t="shared" si="3"/>
        <v>87.651515151515156</v>
      </c>
      <c r="O46" s="14">
        <f t="shared" si="4"/>
        <v>0</v>
      </c>
      <c r="P46" s="15">
        <f t="shared" si="5"/>
        <v>-3.2575757575757507</v>
      </c>
      <c r="Q46" s="384">
        <f t="shared" si="6"/>
        <v>0.96416666666666673</v>
      </c>
      <c r="R46" s="615">
        <f>Q53</f>
        <v>0.95977924311285723</v>
      </c>
      <c r="S46" s="34">
        <v>0.16666666666666666</v>
      </c>
      <c r="T46" s="34">
        <v>0.19166666666666665</v>
      </c>
      <c r="U46" s="21"/>
      <c r="V46" s="396">
        <f t="shared" ref="V46:V52" si="37">(T46-S46)*24*60</f>
        <v>35.999999999999993</v>
      </c>
      <c r="W46" s="16">
        <f>T46</f>
        <v>0.19166666666666665</v>
      </c>
      <c r="X46" s="16">
        <f>S47</f>
        <v>0.21041666666666664</v>
      </c>
      <c r="Y46" s="21"/>
      <c r="Z46" s="21"/>
      <c r="AA46" s="617"/>
      <c r="AB46" s="617"/>
      <c r="AC46" s="18">
        <v>7</v>
      </c>
      <c r="AD46" s="18"/>
      <c r="AE46" s="14">
        <f t="shared" si="8"/>
        <v>-71.666666666666515</v>
      </c>
      <c r="AF46" s="384">
        <f t="shared" si="9"/>
        <v>0.96416666666666673</v>
      </c>
      <c r="AG46" s="615">
        <f>AF53</f>
        <v>0.95977924311285712</v>
      </c>
    </row>
    <row r="47" spans="1:33" ht="15.75" customHeight="1">
      <c r="A47" s="630" t="s">
        <v>1834</v>
      </c>
      <c r="B47" s="29" t="s">
        <v>19</v>
      </c>
      <c r="C47" s="616" t="s">
        <v>81</v>
      </c>
      <c r="D47" s="616"/>
      <c r="E47" s="29">
        <v>46</v>
      </c>
      <c r="F47" s="32">
        <v>2065</v>
      </c>
      <c r="G47" s="385">
        <f t="shared" si="35"/>
        <v>94990</v>
      </c>
      <c r="H47" s="33" t="s">
        <v>57</v>
      </c>
      <c r="I47" s="395">
        <v>16</v>
      </c>
      <c r="J47" s="31">
        <v>2000</v>
      </c>
      <c r="K47" s="12">
        <f t="shared" si="1"/>
        <v>125</v>
      </c>
      <c r="L47" s="395">
        <v>16</v>
      </c>
      <c r="M47" s="13">
        <f>F47/V47*60</f>
        <v>1906.1538461538457</v>
      </c>
      <c r="N47" s="13">
        <f t="shared" si="3"/>
        <v>119.13461538461536</v>
      </c>
      <c r="O47" s="14">
        <f t="shared" si="4"/>
        <v>0</v>
      </c>
      <c r="P47" s="15">
        <f t="shared" si="5"/>
        <v>-5.8653846153846416</v>
      </c>
      <c r="Q47" s="384">
        <f t="shared" si="6"/>
        <v>0.95307692307692282</v>
      </c>
      <c r="R47" s="615"/>
      <c r="S47" s="34">
        <v>0.21041666666666664</v>
      </c>
      <c r="T47" s="34">
        <v>0.25555555555555554</v>
      </c>
      <c r="U47" s="385">
        <f t="shared" ref="U47:U52" si="38">IF(S47=TIME(17,0,0),"",(S47-T46)*24*60)</f>
        <v>26.999999999999986</v>
      </c>
      <c r="V47" s="396">
        <f t="shared" si="37"/>
        <v>65.000000000000014</v>
      </c>
      <c r="W47" s="16"/>
      <c r="X47" s="16"/>
      <c r="Y47" s="16"/>
      <c r="Z47" s="16"/>
      <c r="AA47" s="617"/>
      <c r="AB47" s="617"/>
      <c r="AC47" s="18"/>
      <c r="AD47" s="18"/>
      <c r="AE47" s="14">
        <f t="shared" si="8"/>
        <v>-93.846153846154266</v>
      </c>
      <c r="AF47" s="384">
        <f t="shared" si="9"/>
        <v>0.95307692307692282</v>
      </c>
      <c r="AG47" s="615"/>
    </row>
    <row r="48" spans="1:33" ht="15.75" customHeight="1">
      <c r="A48" s="630" t="s">
        <v>1834</v>
      </c>
      <c r="B48" s="29" t="s">
        <v>19</v>
      </c>
      <c r="C48" s="622" t="s">
        <v>945</v>
      </c>
      <c r="D48" s="623"/>
      <c r="E48" s="29">
        <v>46</v>
      </c>
      <c r="F48" s="32">
        <v>2439</v>
      </c>
      <c r="G48" s="385">
        <f t="shared" si="35"/>
        <v>112194</v>
      </c>
      <c r="H48" s="33" t="s">
        <v>57</v>
      </c>
      <c r="I48" s="395">
        <v>17</v>
      </c>
      <c r="J48" s="31">
        <v>2000</v>
      </c>
      <c r="K48" s="12">
        <f t="shared" si="1"/>
        <v>117.64705882352941</v>
      </c>
      <c r="L48" s="395">
        <v>17</v>
      </c>
      <c r="M48" s="13">
        <f t="shared" ref="M48:M52" si="39">F48/V48*60</f>
        <v>1925.5263157894742</v>
      </c>
      <c r="N48" s="13">
        <f t="shared" si="3"/>
        <v>113.26625386996908</v>
      </c>
      <c r="O48" s="14">
        <f t="shared" si="4"/>
        <v>0</v>
      </c>
      <c r="P48" s="15">
        <f t="shared" si="5"/>
        <v>-4.3808049535603288</v>
      </c>
      <c r="Q48" s="384">
        <f t="shared" si="6"/>
        <v>0.96276315789473721</v>
      </c>
      <c r="R48" s="615"/>
      <c r="S48" s="34">
        <v>0.25972222222222219</v>
      </c>
      <c r="T48" s="34">
        <v>0.31249999999999994</v>
      </c>
      <c r="U48" s="385">
        <f t="shared" si="38"/>
        <v>5.9999999999999787</v>
      </c>
      <c r="V48" s="396">
        <f t="shared" si="37"/>
        <v>75.999999999999972</v>
      </c>
      <c r="W48" s="16"/>
      <c r="X48" s="16"/>
      <c r="Y48" s="19"/>
      <c r="Z48" s="19"/>
      <c r="AA48" s="617"/>
      <c r="AB48" s="617"/>
      <c r="AC48" s="18"/>
      <c r="AD48" s="18"/>
      <c r="AE48" s="14">
        <f t="shared" si="8"/>
        <v>-74.473684210525789</v>
      </c>
      <c r="AF48" s="384">
        <f t="shared" si="9"/>
        <v>0.9627631578947371</v>
      </c>
      <c r="AG48" s="615"/>
    </row>
    <row r="49" spans="1:33" ht="15.75" customHeight="1">
      <c r="A49" s="630" t="s">
        <v>1834</v>
      </c>
      <c r="B49" s="29" t="s">
        <v>15</v>
      </c>
      <c r="C49" s="389" t="s">
        <v>27</v>
      </c>
      <c r="D49" s="390"/>
      <c r="E49" s="29">
        <v>59.04</v>
      </c>
      <c r="F49" s="32">
        <v>2604</v>
      </c>
      <c r="G49" s="385">
        <f t="shared" si="35"/>
        <v>153740.16</v>
      </c>
      <c r="H49" s="33" t="s">
        <v>57</v>
      </c>
      <c r="I49" s="395">
        <v>19</v>
      </c>
      <c r="J49" s="31">
        <v>2000</v>
      </c>
      <c r="K49" s="12">
        <f t="shared" si="1"/>
        <v>105.26315789473684</v>
      </c>
      <c r="L49" s="395">
        <v>19</v>
      </c>
      <c r="M49" s="13">
        <f t="shared" si="39"/>
        <v>1905.3658536585358</v>
      </c>
      <c r="N49" s="13">
        <f t="shared" si="3"/>
        <v>100.28241335044925</v>
      </c>
      <c r="O49" s="14">
        <f t="shared" si="4"/>
        <v>0</v>
      </c>
      <c r="P49" s="15">
        <f t="shared" si="5"/>
        <v>-4.9807445442875888</v>
      </c>
      <c r="Q49" s="384">
        <f t="shared" si="6"/>
        <v>0.95268292682926792</v>
      </c>
      <c r="R49" s="615"/>
      <c r="S49" s="34">
        <v>0.3166666666666666</v>
      </c>
      <c r="T49" s="34">
        <v>0.37361111111111106</v>
      </c>
      <c r="U49" s="385">
        <f t="shared" si="38"/>
        <v>5.9999999999999787</v>
      </c>
      <c r="V49" s="396">
        <f t="shared" si="37"/>
        <v>82.000000000000028</v>
      </c>
      <c r="W49" s="16"/>
      <c r="X49" s="16"/>
      <c r="Y49" s="19"/>
      <c r="Z49" s="19"/>
      <c r="AA49" s="617"/>
      <c r="AB49" s="617"/>
      <c r="AC49" s="18"/>
      <c r="AD49" s="18"/>
      <c r="AE49" s="14">
        <f t="shared" si="8"/>
        <v>-94.634146341464202</v>
      </c>
      <c r="AF49" s="384">
        <f t="shared" si="9"/>
        <v>0.95268292682926792</v>
      </c>
      <c r="AG49" s="615"/>
    </row>
    <row r="50" spans="1:33" ht="15.75" customHeight="1">
      <c r="A50" s="630" t="s">
        <v>1834</v>
      </c>
      <c r="B50" s="29" t="s">
        <v>15</v>
      </c>
      <c r="C50" s="389" t="s">
        <v>48</v>
      </c>
      <c r="D50" s="390"/>
      <c r="E50" s="29">
        <v>55.56</v>
      </c>
      <c r="F50" s="32">
        <v>1940</v>
      </c>
      <c r="G50" s="385">
        <f t="shared" si="35"/>
        <v>107786.40000000001</v>
      </c>
      <c r="H50" s="33" t="s">
        <v>57</v>
      </c>
      <c r="I50" s="395">
        <v>17</v>
      </c>
      <c r="J50" s="31">
        <v>2000</v>
      </c>
      <c r="K50" s="12">
        <f t="shared" si="1"/>
        <v>117.64705882352941</v>
      </c>
      <c r="L50" s="395">
        <v>17</v>
      </c>
      <c r="M50" s="13">
        <f t="shared" si="39"/>
        <v>1908.1967213114772</v>
      </c>
      <c r="N50" s="13">
        <f t="shared" si="3"/>
        <v>112.24686595949866</v>
      </c>
      <c r="O50" s="14">
        <f t="shared" si="4"/>
        <v>0</v>
      </c>
      <c r="P50" s="15">
        <f t="shared" si="5"/>
        <v>-5.4001928640307426</v>
      </c>
      <c r="Q50" s="384">
        <f t="shared" si="6"/>
        <v>0.95409836065573872</v>
      </c>
      <c r="R50" s="615"/>
      <c r="S50" s="34">
        <v>0.70833333333333337</v>
      </c>
      <c r="T50" s="34">
        <v>0.75069444444444444</v>
      </c>
      <c r="U50" s="385" t="str">
        <f t="shared" si="38"/>
        <v/>
      </c>
      <c r="V50" s="396">
        <f t="shared" si="37"/>
        <v>60.999999999999943</v>
      </c>
      <c r="W50" s="16"/>
      <c r="X50" s="16"/>
      <c r="Y50" s="19"/>
      <c r="Z50" s="19"/>
      <c r="AA50" s="617"/>
      <c r="AB50" s="617"/>
      <c r="AC50" s="18"/>
      <c r="AD50" s="18"/>
      <c r="AE50" s="14">
        <f t="shared" si="8"/>
        <v>-91.803278688522823</v>
      </c>
      <c r="AF50" s="384">
        <f t="shared" si="9"/>
        <v>0.95409836065573861</v>
      </c>
      <c r="AG50" s="615"/>
    </row>
    <row r="51" spans="1:33" ht="15.75" customHeight="1">
      <c r="A51" s="630" t="s">
        <v>1834</v>
      </c>
      <c r="B51" s="29" t="s">
        <v>15</v>
      </c>
      <c r="C51" s="622" t="s">
        <v>841</v>
      </c>
      <c r="D51" s="623"/>
      <c r="E51" s="29">
        <v>54.09</v>
      </c>
      <c r="F51" s="32">
        <v>1731</v>
      </c>
      <c r="G51" s="385">
        <f t="shared" si="35"/>
        <v>93629.790000000008</v>
      </c>
      <c r="H51" s="33" t="s">
        <v>57</v>
      </c>
      <c r="I51" s="395">
        <v>13</v>
      </c>
      <c r="J51" s="31">
        <v>2000</v>
      </c>
      <c r="K51" s="12">
        <f t="shared" si="1"/>
        <v>153.84615384615384</v>
      </c>
      <c r="L51" s="395">
        <v>13</v>
      </c>
      <c r="M51" s="13">
        <f t="shared" si="39"/>
        <v>1923.3333333333344</v>
      </c>
      <c r="N51" s="13">
        <f t="shared" si="3"/>
        <v>147.94871794871804</v>
      </c>
      <c r="O51" s="14">
        <f t="shared" si="4"/>
        <v>0</v>
      </c>
      <c r="P51" s="15">
        <f t="shared" si="5"/>
        <v>-5.8974358974357983</v>
      </c>
      <c r="Q51" s="384">
        <f t="shared" si="6"/>
        <v>0.96166666666666734</v>
      </c>
      <c r="R51" s="615"/>
      <c r="S51" s="34">
        <v>0.75624999999999998</v>
      </c>
      <c r="T51" s="34">
        <v>0.79374999999999996</v>
      </c>
      <c r="U51" s="385">
        <f t="shared" si="38"/>
        <v>7.9999999999999716</v>
      </c>
      <c r="V51" s="396">
        <f t="shared" si="37"/>
        <v>53.999999999999972</v>
      </c>
      <c r="W51" s="16"/>
      <c r="X51" s="16"/>
      <c r="Y51" s="19"/>
      <c r="Z51" s="19"/>
      <c r="AA51" s="624"/>
      <c r="AB51" s="625"/>
      <c r="AC51" s="18"/>
      <c r="AD51" s="18"/>
      <c r="AE51" s="14">
        <f t="shared" si="8"/>
        <v>-76.666666666665606</v>
      </c>
      <c r="AF51" s="384">
        <f t="shared" si="9"/>
        <v>0.96166666666666722</v>
      </c>
      <c r="AG51" s="615"/>
    </row>
    <row r="52" spans="1:33" ht="15.75" customHeight="1">
      <c r="A52" s="630" t="s">
        <v>1834</v>
      </c>
      <c r="B52" s="29" t="s">
        <v>15</v>
      </c>
      <c r="C52" s="622" t="s">
        <v>85</v>
      </c>
      <c r="D52" s="623"/>
      <c r="E52" s="29">
        <v>56.43</v>
      </c>
      <c r="F52" s="32">
        <v>1455</v>
      </c>
      <c r="G52" s="385">
        <f t="shared" si="35"/>
        <v>82105.649999999994</v>
      </c>
      <c r="H52" s="33" t="s">
        <v>57</v>
      </c>
      <c r="I52" s="395">
        <v>13</v>
      </c>
      <c r="J52" s="31">
        <v>2000</v>
      </c>
      <c r="K52" s="12">
        <f t="shared" si="1"/>
        <v>153.84615384615384</v>
      </c>
      <c r="L52" s="395">
        <v>13</v>
      </c>
      <c r="M52" s="13">
        <f t="shared" si="39"/>
        <v>1940.0000000000002</v>
      </c>
      <c r="N52" s="13">
        <f t="shared" si="3"/>
        <v>149.23076923076925</v>
      </c>
      <c r="O52" s="14">
        <f t="shared" si="4"/>
        <v>0</v>
      </c>
      <c r="P52" s="15">
        <f t="shared" si="5"/>
        <v>-4.6153846153845848</v>
      </c>
      <c r="Q52" s="384">
        <f t="shared" si="6"/>
        <v>0.9700000000000002</v>
      </c>
      <c r="R52" s="615"/>
      <c r="S52" s="34">
        <v>0.79722222222222217</v>
      </c>
      <c r="T52" s="34">
        <v>0.82847222222222217</v>
      </c>
      <c r="U52" s="385">
        <f t="shared" si="38"/>
        <v>4.9999999999999822</v>
      </c>
      <c r="V52" s="396">
        <f t="shared" si="37"/>
        <v>45</v>
      </c>
      <c r="W52" s="16"/>
      <c r="X52" s="16"/>
      <c r="Y52" s="19"/>
      <c r="Z52" s="19"/>
      <c r="AA52" s="624"/>
      <c r="AB52" s="625"/>
      <c r="AC52" s="18"/>
      <c r="AD52" s="18"/>
      <c r="AE52" s="14">
        <f t="shared" si="8"/>
        <v>-59.999999999999773</v>
      </c>
      <c r="AF52" s="384">
        <f t="shared" si="9"/>
        <v>0.97000000000000008</v>
      </c>
      <c r="AG52" s="615"/>
    </row>
    <row r="53" spans="1:33">
      <c r="A53" s="631" t="s">
        <v>1834</v>
      </c>
      <c r="B53" s="29" t="s">
        <v>271</v>
      </c>
      <c r="C53" s="618"/>
      <c r="D53" s="618"/>
      <c r="E53" s="387"/>
      <c r="F53" s="30"/>
      <c r="G53" s="12"/>
      <c r="H53" s="398"/>
      <c r="I53" s="23">
        <v>16.714285714285715</v>
      </c>
      <c r="J53" s="31">
        <v>2000</v>
      </c>
      <c r="K53" s="12">
        <f t="shared" si="1"/>
        <v>119.65811965811965</v>
      </c>
      <c r="L53" s="23">
        <v>16.714285714285715</v>
      </c>
      <c r="M53" s="13">
        <f>AVERAGE(M46:M52)</f>
        <v>1919.5584862257142</v>
      </c>
      <c r="N53" s="12">
        <f t="shared" si="3"/>
        <v>114.84537951777777</v>
      </c>
      <c r="O53" s="14">
        <f t="shared" si="4"/>
        <v>0</v>
      </c>
      <c r="P53" s="15">
        <f t="shared" si="5"/>
        <v>-4.812740140341873</v>
      </c>
      <c r="Q53" s="384">
        <f t="shared" si="6"/>
        <v>0.95977924311285723</v>
      </c>
      <c r="R53" s="615"/>
      <c r="S53" s="34"/>
      <c r="T53" s="34"/>
      <c r="U53" s="385"/>
      <c r="V53" s="396"/>
      <c r="W53" s="12"/>
      <c r="X53" s="12"/>
      <c r="Y53" s="24">
        <f>SUM(Y46:Y52)</f>
        <v>0</v>
      </c>
      <c r="Z53" s="24">
        <f>SUM(Z46:Z52)</f>
        <v>0</v>
      </c>
      <c r="AA53" s="614"/>
      <c r="AB53" s="614"/>
      <c r="AC53" s="24">
        <v>7</v>
      </c>
      <c r="AD53" s="24">
        <f>SUM(AD46:AD52)</f>
        <v>0</v>
      </c>
      <c r="AE53" s="14">
        <f>M53-J53</f>
        <v>-80.441513774285795</v>
      </c>
      <c r="AF53" s="384">
        <f t="shared" si="9"/>
        <v>0.95977924311285712</v>
      </c>
      <c r="AG53" s="615"/>
    </row>
    <row r="54" spans="1:33" ht="15.75" customHeight="1">
      <c r="A54" s="626" t="s">
        <v>1835</v>
      </c>
      <c r="B54" s="398" t="s">
        <v>40</v>
      </c>
      <c r="C54" s="616" t="s">
        <v>49</v>
      </c>
      <c r="D54" s="616"/>
      <c r="E54" s="29">
        <v>34.36</v>
      </c>
      <c r="F54" s="32">
        <v>1797</v>
      </c>
      <c r="G54" s="385">
        <f t="shared" ref="G54:G57" si="40">E54*F54</f>
        <v>61744.92</v>
      </c>
      <c r="H54" s="33" t="s">
        <v>57</v>
      </c>
      <c r="I54" s="395">
        <v>10</v>
      </c>
      <c r="J54" s="31">
        <v>3000</v>
      </c>
      <c r="K54" s="12">
        <f t="shared" si="1"/>
        <v>300</v>
      </c>
      <c r="L54" s="395">
        <v>10</v>
      </c>
      <c r="M54" s="13">
        <f t="shared" ref="M54:M57" si="41">F54/V54*60</f>
        <v>2914.0540540540551</v>
      </c>
      <c r="N54" s="12">
        <f t="shared" si="3"/>
        <v>291.40540540540553</v>
      </c>
      <c r="O54" s="14">
        <f t="shared" si="4"/>
        <v>0</v>
      </c>
      <c r="P54" s="15">
        <f t="shared" si="5"/>
        <v>-8.5945945945944686</v>
      </c>
      <c r="Q54" s="384">
        <f t="shared" si="6"/>
        <v>0.97135135135135175</v>
      </c>
      <c r="R54" s="615">
        <f>Q58</f>
        <v>0.96413032149796885</v>
      </c>
      <c r="S54" s="34">
        <v>0.20833333333333334</v>
      </c>
      <c r="T54" s="34">
        <v>0.23402777777777778</v>
      </c>
      <c r="U54" s="385"/>
      <c r="V54" s="396">
        <f t="shared" ref="V54:V57" si="42">(T54-S54)*24*60</f>
        <v>36.999999999999986</v>
      </c>
      <c r="W54" s="16"/>
      <c r="X54" s="16"/>
      <c r="Y54" s="21"/>
      <c r="Z54" s="21"/>
      <c r="AA54" s="617"/>
      <c r="AB54" s="617"/>
      <c r="AC54" s="18">
        <v>4</v>
      </c>
      <c r="AD54" s="18"/>
      <c r="AE54" s="14">
        <f t="shared" ref="AE54:AE64" si="43">M54-J54</f>
        <v>-85.945945945944914</v>
      </c>
      <c r="AF54" s="384">
        <f t="shared" si="9"/>
        <v>0.97135135135135164</v>
      </c>
      <c r="AG54" s="615">
        <f>AF58</f>
        <v>0.96413032149796873</v>
      </c>
    </row>
    <row r="55" spans="1:33" ht="15.75" customHeight="1">
      <c r="A55" s="626" t="s">
        <v>1835</v>
      </c>
      <c r="B55" s="398" t="s">
        <v>40</v>
      </c>
      <c r="C55" s="616" t="s">
        <v>51</v>
      </c>
      <c r="D55" s="616"/>
      <c r="E55" s="29">
        <v>26.78</v>
      </c>
      <c r="F55" s="32">
        <v>2167</v>
      </c>
      <c r="G55" s="385">
        <f t="shared" si="40"/>
        <v>58032.26</v>
      </c>
      <c r="H55" s="33" t="s">
        <v>57</v>
      </c>
      <c r="I55" s="395">
        <v>10</v>
      </c>
      <c r="J55" s="31">
        <v>3000</v>
      </c>
      <c r="K55" s="12">
        <f t="shared" si="1"/>
        <v>300</v>
      </c>
      <c r="L55" s="395">
        <v>10</v>
      </c>
      <c r="M55" s="13">
        <f t="shared" si="41"/>
        <v>2889.3333333333303</v>
      </c>
      <c r="N55" s="12">
        <f t="shared" si="3"/>
        <v>288.93333333333305</v>
      </c>
      <c r="O55" s="14">
        <f t="shared" si="4"/>
        <v>0</v>
      </c>
      <c r="P55" s="15">
        <f t="shared" si="5"/>
        <v>-11.066666666666947</v>
      </c>
      <c r="Q55" s="384">
        <f t="shared" si="6"/>
        <v>0.96311111111111014</v>
      </c>
      <c r="R55" s="615"/>
      <c r="S55" s="34">
        <v>0.2388888888888889</v>
      </c>
      <c r="T55" s="34">
        <v>0.27013888888888893</v>
      </c>
      <c r="U55" s="385">
        <f t="shared" ref="U55:U57" si="44">(S55-T54)*24*60</f>
        <v>7.0000000000000151</v>
      </c>
      <c r="V55" s="396">
        <f t="shared" si="42"/>
        <v>45.000000000000043</v>
      </c>
      <c r="W55" s="385"/>
      <c r="X55" s="385"/>
      <c r="Y55" s="385"/>
      <c r="Z55" s="385"/>
      <c r="AA55" s="617"/>
      <c r="AB55" s="617"/>
      <c r="AC55" s="18"/>
      <c r="AD55" s="18"/>
      <c r="AE55" s="14">
        <f t="shared" si="43"/>
        <v>-110.6666666666697</v>
      </c>
      <c r="AF55" s="384">
        <f t="shared" si="9"/>
        <v>0.96311111111111014</v>
      </c>
      <c r="AG55" s="615"/>
    </row>
    <row r="56" spans="1:33" ht="15.75" customHeight="1">
      <c r="A56" s="626" t="s">
        <v>1835</v>
      </c>
      <c r="B56" s="398" t="s">
        <v>40</v>
      </c>
      <c r="C56" s="616" t="s">
        <v>52</v>
      </c>
      <c r="D56" s="616"/>
      <c r="E56" s="29">
        <v>35.869999999999997</v>
      </c>
      <c r="F56" s="32">
        <v>3255</v>
      </c>
      <c r="G56" s="385">
        <f t="shared" si="40"/>
        <v>116756.84999999999</v>
      </c>
      <c r="H56" s="33" t="s">
        <v>57</v>
      </c>
      <c r="I56" s="395">
        <v>9</v>
      </c>
      <c r="J56" s="31">
        <v>3000</v>
      </c>
      <c r="K56" s="12">
        <f t="shared" si="1"/>
        <v>333.33333333333331</v>
      </c>
      <c r="L56" s="395">
        <v>9</v>
      </c>
      <c r="M56" s="13">
        <f t="shared" si="41"/>
        <v>2872.0588235294117</v>
      </c>
      <c r="N56" s="12">
        <f t="shared" si="3"/>
        <v>319.11764705882354</v>
      </c>
      <c r="O56" s="14">
        <f t="shared" si="4"/>
        <v>0</v>
      </c>
      <c r="P56" s="15">
        <f t="shared" si="5"/>
        <v>-14.215686274509778</v>
      </c>
      <c r="Q56" s="384">
        <f t="shared" si="6"/>
        <v>0.95735294117647063</v>
      </c>
      <c r="R56" s="615"/>
      <c r="S56" s="34">
        <v>0.27569444444444446</v>
      </c>
      <c r="T56" s="34">
        <v>0.32291666666666669</v>
      </c>
      <c r="U56" s="385">
        <f t="shared" si="44"/>
        <v>7.9999999999999716</v>
      </c>
      <c r="V56" s="396">
        <f t="shared" si="42"/>
        <v>68</v>
      </c>
      <c r="W56" s="385"/>
      <c r="X56" s="385"/>
      <c r="Y56" s="385"/>
      <c r="Z56" s="385"/>
      <c r="AA56" s="617"/>
      <c r="AB56" s="617"/>
      <c r="AC56" s="18"/>
      <c r="AD56" s="18"/>
      <c r="AE56" s="14">
        <f t="shared" si="43"/>
        <v>-127.94117647058829</v>
      </c>
      <c r="AF56" s="384">
        <f t="shared" si="9"/>
        <v>0.95735294117647052</v>
      </c>
      <c r="AG56" s="615"/>
    </row>
    <row r="57" spans="1:33" ht="15.75" customHeight="1">
      <c r="A57" s="626" t="s">
        <v>1835</v>
      </c>
      <c r="B57" s="398" t="s">
        <v>40</v>
      </c>
      <c r="C57" s="616" t="s">
        <v>53</v>
      </c>
      <c r="D57" s="616"/>
      <c r="E57" s="29">
        <v>34.35</v>
      </c>
      <c r="F57" s="32">
        <v>1640</v>
      </c>
      <c r="G57" s="385">
        <f t="shared" si="40"/>
        <v>56334</v>
      </c>
      <c r="H57" s="33" t="s">
        <v>57</v>
      </c>
      <c r="I57" s="395">
        <v>8</v>
      </c>
      <c r="J57" s="31">
        <v>3000</v>
      </c>
      <c r="K57" s="12">
        <f t="shared" si="1"/>
        <v>375</v>
      </c>
      <c r="L57" s="395">
        <v>8</v>
      </c>
      <c r="M57" s="13">
        <f t="shared" si="41"/>
        <v>2894.1176470588275</v>
      </c>
      <c r="N57" s="12">
        <f t="shared" si="3"/>
        <v>361.76470588235344</v>
      </c>
      <c r="O57" s="14">
        <f t="shared" si="4"/>
        <v>0</v>
      </c>
      <c r="P57" s="15">
        <f t="shared" si="5"/>
        <v>-13.235294117646561</v>
      </c>
      <c r="Q57" s="384">
        <f t="shared" si="6"/>
        <v>0.96470588235294252</v>
      </c>
      <c r="R57" s="615"/>
      <c r="S57" s="34">
        <v>0.3263888888888889</v>
      </c>
      <c r="T57" s="34">
        <v>0.35</v>
      </c>
      <c r="U57" s="385">
        <f t="shared" si="44"/>
        <v>4.9999999999999822</v>
      </c>
      <c r="V57" s="396">
        <f t="shared" si="42"/>
        <v>33.999999999999957</v>
      </c>
      <c r="W57" s="385"/>
      <c r="X57" s="385"/>
      <c r="Y57" s="385"/>
      <c r="Z57" s="385"/>
      <c r="AA57" s="617"/>
      <c r="AB57" s="617"/>
      <c r="AC57" s="18"/>
      <c r="AD57" s="18"/>
      <c r="AE57" s="14">
        <f t="shared" si="43"/>
        <v>-105.88235294117248</v>
      </c>
      <c r="AF57" s="384">
        <f t="shared" si="9"/>
        <v>0.96470588235294252</v>
      </c>
      <c r="AG57" s="615"/>
    </row>
    <row r="58" spans="1:33">
      <c r="A58" s="627" t="s">
        <v>1835</v>
      </c>
      <c r="B58" s="29" t="s">
        <v>271</v>
      </c>
      <c r="C58" s="618"/>
      <c r="D58" s="618"/>
      <c r="E58" s="387"/>
      <c r="F58" s="30"/>
      <c r="G58" s="12"/>
      <c r="H58" s="398"/>
      <c r="I58" s="23">
        <v>9.25</v>
      </c>
      <c r="J58" s="31">
        <v>3000</v>
      </c>
      <c r="K58" s="12">
        <f t="shared" si="1"/>
        <v>324.32432432432432</v>
      </c>
      <c r="L58" s="23">
        <v>9.25</v>
      </c>
      <c r="M58" s="13">
        <f>AVERAGE(M54:M57)</f>
        <v>2892.3909644939063</v>
      </c>
      <c r="N58" s="12">
        <f t="shared" si="3"/>
        <v>312.69091508042231</v>
      </c>
      <c r="O58" s="14">
        <f t="shared" si="4"/>
        <v>0</v>
      </c>
      <c r="P58" s="15">
        <f t="shared" si="5"/>
        <v>-11.633409243902008</v>
      </c>
      <c r="Q58" s="384">
        <f t="shared" si="6"/>
        <v>0.96413032149796885</v>
      </c>
      <c r="R58" s="615"/>
      <c r="S58" s="34"/>
      <c r="T58" s="34"/>
      <c r="U58" s="12"/>
      <c r="V58" s="396"/>
      <c r="W58" s="12"/>
      <c r="X58" s="12"/>
      <c r="Y58" s="24">
        <f>SUM(Y54:Y57)</f>
        <v>0</v>
      </c>
      <c r="Z58" s="24">
        <f>SUM(Z54:Z57)</f>
        <v>0</v>
      </c>
      <c r="AA58" s="614"/>
      <c r="AB58" s="614"/>
      <c r="AC58" s="24">
        <v>4</v>
      </c>
      <c r="AD58" s="24">
        <f>SUM(AD54:AD57)</f>
        <v>0</v>
      </c>
      <c r="AE58" s="14">
        <f t="shared" si="43"/>
        <v>-107.60903550609373</v>
      </c>
      <c r="AF58" s="384">
        <f t="shared" si="9"/>
        <v>0.96413032149796873</v>
      </c>
      <c r="AG58" s="615"/>
    </row>
    <row r="59" spans="1:33" ht="15.75" customHeight="1">
      <c r="A59" s="619" t="s">
        <v>14</v>
      </c>
      <c r="B59" s="398" t="s">
        <v>32</v>
      </c>
      <c r="C59" s="616" t="s">
        <v>56</v>
      </c>
      <c r="D59" s="616"/>
      <c r="E59" s="29">
        <v>19.02</v>
      </c>
      <c r="F59" s="398">
        <v>7278</v>
      </c>
      <c r="G59" s="385">
        <f t="shared" ref="G59:G63" si="45">E59*F59</f>
        <v>138427.56</v>
      </c>
      <c r="H59" s="33" t="s">
        <v>57</v>
      </c>
      <c r="I59" s="395">
        <v>14</v>
      </c>
      <c r="J59" s="31">
        <v>2400</v>
      </c>
      <c r="K59" s="12">
        <f t="shared" si="1"/>
        <v>171.42857142857142</v>
      </c>
      <c r="L59" s="395">
        <v>14</v>
      </c>
      <c r="M59" s="13">
        <f t="shared" ref="M59:M63" si="46">F59/V59*60</f>
        <v>2286.2827225130886</v>
      </c>
      <c r="N59" s="12">
        <f t="shared" si="3"/>
        <v>163.30590875093489</v>
      </c>
      <c r="O59" s="14">
        <f t="shared" si="4"/>
        <v>0</v>
      </c>
      <c r="P59" s="15">
        <f t="shared" si="5"/>
        <v>-8.1226626776365265</v>
      </c>
      <c r="Q59" s="384">
        <f t="shared" si="6"/>
        <v>0.95261780104712024</v>
      </c>
      <c r="R59" s="615">
        <f>Q64</f>
        <v>0.95585825749211895</v>
      </c>
      <c r="S59" s="34">
        <v>8.3333333333333329E-2</v>
      </c>
      <c r="T59" s="34">
        <v>0.21597222222222223</v>
      </c>
      <c r="U59" s="21"/>
      <c r="V59" s="396">
        <f t="shared" ref="V59:V63" si="47">(T59-S59)*24*60</f>
        <v>191.00000000000003</v>
      </c>
      <c r="W59" s="16">
        <f>T59</f>
        <v>0.21597222222222223</v>
      </c>
      <c r="X59" s="16">
        <f>S60</f>
        <v>0.23680555555555557</v>
      </c>
      <c r="Y59" s="16"/>
      <c r="Z59" s="16"/>
      <c r="AA59" s="617"/>
      <c r="AB59" s="617"/>
      <c r="AC59" s="18">
        <v>5</v>
      </c>
      <c r="AD59" s="18"/>
      <c r="AE59" s="14">
        <f t="shared" si="43"/>
        <v>-113.71727748691137</v>
      </c>
      <c r="AF59" s="384">
        <f t="shared" si="9"/>
        <v>0.95261780104712024</v>
      </c>
      <c r="AG59" s="615">
        <f>AF64</f>
        <v>0.95585825749211895</v>
      </c>
    </row>
    <row r="60" spans="1:33" ht="15.75" customHeight="1">
      <c r="A60" s="620" t="s">
        <v>14</v>
      </c>
      <c r="B60" s="398" t="s">
        <v>32</v>
      </c>
      <c r="C60" s="616" t="s">
        <v>36</v>
      </c>
      <c r="D60" s="616"/>
      <c r="E60" s="29">
        <v>20.36</v>
      </c>
      <c r="F60" s="398">
        <v>3316</v>
      </c>
      <c r="G60" s="385">
        <f t="shared" si="45"/>
        <v>67513.759999999995</v>
      </c>
      <c r="H60" s="33" t="s">
        <v>57</v>
      </c>
      <c r="I60" s="395">
        <v>17</v>
      </c>
      <c r="J60" s="31">
        <v>2400</v>
      </c>
      <c r="K60" s="12">
        <f t="shared" si="1"/>
        <v>141.1764705882353</v>
      </c>
      <c r="L60" s="395">
        <v>17</v>
      </c>
      <c r="M60" s="13">
        <f t="shared" si="46"/>
        <v>2286.8965517241386</v>
      </c>
      <c r="N60" s="12">
        <f t="shared" si="3"/>
        <v>134.52332657200816</v>
      </c>
      <c r="O60" s="14">
        <f t="shared" si="4"/>
        <v>0</v>
      </c>
      <c r="P60" s="15">
        <f t="shared" si="5"/>
        <v>-6.6531440162271451</v>
      </c>
      <c r="Q60" s="384">
        <f t="shared" si="6"/>
        <v>0.95287356321839101</v>
      </c>
      <c r="R60" s="615"/>
      <c r="S60" s="34">
        <v>0.23680555555555557</v>
      </c>
      <c r="T60" s="34">
        <v>0.29722222222222222</v>
      </c>
      <c r="U60" s="385">
        <f t="shared" ref="U60:U63" si="48">(S60-T59)*24*60</f>
        <v>30.000000000000014</v>
      </c>
      <c r="V60" s="396">
        <f t="shared" si="47"/>
        <v>86.999999999999972</v>
      </c>
      <c r="W60" s="16"/>
      <c r="X60" s="16"/>
      <c r="Y60" s="16"/>
      <c r="Z60" s="16"/>
      <c r="AA60" s="617"/>
      <c r="AB60" s="617"/>
      <c r="AC60" s="18"/>
      <c r="AD60" s="18"/>
      <c r="AE60" s="14">
        <f t="shared" si="43"/>
        <v>-113.10344827586141</v>
      </c>
      <c r="AF60" s="384">
        <f t="shared" si="9"/>
        <v>0.95287356321839112</v>
      </c>
      <c r="AG60" s="615"/>
    </row>
    <row r="61" spans="1:33" ht="15.75" customHeight="1">
      <c r="A61" s="620" t="s">
        <v>14</v>
      </c>
      <c r="B61" s="398" t="s">
        <v>32</v>
      </c>
      <c r="C61" s="616" t="s">
        <v>54</v>
      </c>
      <c r="D61" s="616"/>
      <c r="E61" s="29">
        <v>20.21</v>
      </c>
      <c r="F61" s="398">
        <v>2320</v>
      </c>
      <c r="G61" s="385">
        <f t="shared" si="45"/>
        <v>46887.200000000004</v>
      </c>
      <c r="H61" s="33" t="s">
        <v>57</v>
      </c>
      <c r="I61" s="395">
        <v>15</v>
      </c>
      <c r="J61" s="31">
        <v>2400</v>
      </c>
      <c r="K61" s="12">
        <f t="shared" si="1"/>
        <v>160</v>
      </c>
      <c r="L61" s="395">
        <v>15</v>
      </c>
      <c r="M61" s="13">
        <f t="shared" si="46"/>
        <v>2319.9999999999991</v>
      </c>
      <c r="N61" s="12">
        <f t="shared" si="3"/>
        <v>154.6666666666666</v>
      </c>
      <c r="O61" s="14">
        <f t="shared" si="4"/>
        <v>0</v>
      </c>
      <c r="P61" s="15">
        <f t="shared" si="5"/>
        <v>-5.3333333333333997</v>
      </c>
      <c r="Q61" s="384">
        <f t="shared" si="6"/>
        <v>0.96666666666666623</v>
      </c>
      <c r="R61" s="615"/>
      <c r="S61" s="34">
        <v>0.30208333333333331</v>
      </c>
      <c r="T61" s="34">
        <v>0.34375</v>
      </c>
      <c r="U61" s="385">
        <f t="shared" si="48"/>
        <v>6.9999999999999751</v>
      </c>
      <c r="V61" s="396">
        <f t="shared" si="47"/>
        <v>60.000000000000028</v>
      </c>
      <c r="W61" s="16"/>
      <c r="X61" s="16"/>
      <c r="Y61" s="16"/>
      <c r="Z61" s="16"/>
      <c r="AA61" s="617"/>
      <c r="AB61" s="617"/>
      <c r="AC61" s="18"/>
      <c r="AD61" s="18"/>
      <c r="AE61" s="14">
        <f t="shared" si="43"/>
        <v>-80.000000000000909</v>
      </c>
      <c r="AF61" s="384">
        <f t="shared" si="9"/>
        <v>0.96666666666666634</v>
      </c>
      <c r="AG61" s="615"/>
    </row>
    <row r="62" spans="1:33" ht="15.75" customHeight="1">
      <c r="A62" s="620" t="s">
        <v>14</v>
      </c>
      <c r="B62" s="398" t="s">
        <v>32</v>
      </c>
      <c r="C62" s="616" t="s">
        <v>55</v>
      </c>
      <c r="D62" s="616"/>
      <c r="E62" s="29">
        <v>22.69</v>
      </c>
      <c r="F62" s="398">
        <v>2370</v>
      </c>
      <c r="G62" s="385">
        <f t="shared" si="45"/>
        <v>53775.3</v>
      </c>
      <c r="H62" s="33" t="s">
        <v>57</v>
      </c>
      <c r="I62" s="395">
        <v>15</v>
      </c>
      <c r="J62" s="31">
        <v>2400</v>
      </c>
      <c r="K62" s="12">
        <f t="shared" si="1"/>
        <v>160</v>
      </c>
      <c r="L62" s="395">
        <v>15</v>
      </c>
      <c r="M62" s="13">
        <f t="shared" si="46"/>
        <v>2293.5483870967732</v>
      </c>
      <c r="N62" s="12">
        <f t="shared" si="3"/>
        <v>152.90322580645156</v>
      </c>
      <c r="O62" s="14">
        <f t="shared" si="4"/>
        <v>0</v>
      </c>
      <c r="P62" s="15">
        <f t="shared" si="5"/>
        <v>-7.0967741935484412</v>
      </c>
      <c r="Q62" s="384">
        <f t="shared" si="6"/>
        <v>0.95564516129032229</v>
      </c>
      <c r="R62" s="615"/>
      <c r="S62" s="34">
        <v>0.34722222222222221</v>
      </c>
      <c r="T62" s="34">
        <v>0.39027777777777778</v>
      </c>
      <c r="U62" s="385">
        <f t="shared" si="48"/>
        <v>4.9999999999999822</v>
      </c>
      <c r="V62" s="396">
        <f t="shared" si="47"/>
        <v>62.000000000000021</v>
      </c>
      <c r="W62" s="16"/>
      <c r="X62" s="16"/>
      <c r="Y62" s="16"/>
      <c r="Z62" s="16"/>
      <c r="AA62" s="617"/>
      <c r="AB62" s="617"/>
      <c r="AC62" s="18"/>
      <c r="AD62" s="18"/>
      <c r="AE62" s="14">
        <f t="shared" si="43"/>
        <v>-106.45161290322676</v>
      </c>
      <c r="AF62" s="384">
        <f t="shared" si="9"/>
        <v>0.95564516129032218</v>
      </c>
      <c r="AG62" s="615"/>
    </row>
    <row r="63" spans="1:33" ht="15.75" customHeight="1">
      <c r="A63" s="620" t="s">
        <v>14</v>
      </c>
      <c r="B63" s="398" t="s">
        <v>32</v>
      </c>
      <c r="C63" s="616" t="s">
        <v>949</v>
      </c>
      <c r="D63" s="616"/>
      <c r="E63" s="29">
        <v>25.98</v>
      </c>
      <c r="F63" s="398">
        <v>3197</v>
      </c>
      <c r="G63" s="385">
        <f t="shared" si="45"/>
        <v>83058.06</v>
      </c>
      <c r="H63" s="33" t="s">
        <v>57</v>
      </c>
      <c r="I63" s="395">
        <v>17</v>
      </c>
      <c r="J63" s="31">
        <v>2400</v>
      </c>
      <c r="K63" s="12">
        <f t="shared" si="1"/>
        <v>141.1764705882353</v>
      </c>
      <c r="L63" s="395">
        <v>17</v>
      </c>
      <c r="M63" s="13">
        <f t="shared" si="46"/>
        <v>2283.5714285714275</v>
      </c>
      <c r="N63" s="12">
        <f t="shared" si="3"/>
        <v>134.32773109243692</v>
      </c>
      <c r="O63" s="14">
        <f t="shared" si="4"/>
        <v>0</v>
      </c>
      <c r="P63" s="15">
        <f t="shared" si="5"/>
        <v>-6.8487394957983838</v>
      </c>
      <c r="Q63" s="384">
        <f t="shared" si="6"/>
        <v>0.95148809523809474</v>
      </c>
      <c r="R63" s="615"/>
      <c r="S63" s="34">
        <v>0.39513888888888887</v>
      </c>
      <c r="T63" s="34">
        <v>0.45347222222222222</v>
      </c>
      <c r="U63" s="385">
        <f t="shared" si="48"/>
        <v>6.9999999999999751</v>
      </c>
      <c r="V63" s="396">
        <f t="shared" si="47"/>
        <v>84.000000000000028</v>
      </c>
      <c r="W63" s="16"/>
      <c r="X63" s="16"/>
      <c r="Y63" s="16"/>
      <c r="Z63" s="16"/>
      <c r="AA63" s="617"/>
      <c r="AB63" s="617"/>
      <c r="AC63" s="18"/>
      <c r="AD63" s="18"/>
      <c r="AE63" s="14">
        <f t="shared" si="43"/>
        <v>-116.42857142857247</v>
      </c>
      <c r="AF63" s="384">
        <f t="shared" si="9"/>
        <v>0.95148809523809486</v>
      </c>
      <c r="AG63" s="615"/>
    </row>
    <row r="64" spans="1:33" ht="16.5" customHeight="1">
      <c r="A64" s="621" t="s">
        <v>14</v>
      </c>
      <c r="B64" s="29" t="s">
        <v>271</v>
      </c>
      <c r="C64" s="612"/>
      <c r="D64" s="613"/>
      <c r="E64" s="387"/>
      <c r="F64" s="30"/>
      <c r="G64" s="12"/>
      <c r="H64" s="398"/>
      <c r="I64" s="23">
        <v>15.6</v>
      </c>
      <c r="J64" s="31">
        <v>2400</v>
      </c>
      <c r="K64" s="12">
        <f t="shared" si="1"/>
        <v>153.84615384615384</v>
      </c>
      <c r="L64" s="23">
        <v>15.6</v>
      </c>
      <c r="M64" s="13">
        <f>AVERAGE(M59:M63)</f>
        <v>2294.0598179810854</v>
      </c>
      <c r="N64" s="12">
        <f t="shared" si="3"/>
        <v>147.05511653724906</v>
      </c>
      <c r="O64" s="14">
        <f t="shared" si="4"/>
        <v>0</v>
      </c>
      <c r="P64" s="15">
        <f t="shared" si="5"/>
        <v>-6.7910373089047766</v>
      </c>
      <c r="Q64" s="384">
        <f t="shared" si="6"/>
        <v>0.95585825749211895</v>
      </c>
      <c r="R64" s="615"/>
      <c r="S64" s="34"/>
      <c r="T64" s="34"/>
      <c r="U64" s="12"/>
      <c r="V64" s="396"/>
      <c r="W64" s="12"/>
      <c r="X64" s="12"/>
      <c r="Y64" s="24">
        <f>SUM(Y59:Y63)</f>
        <v>0</v>
      </c>
      <c r="Z64" s="24">
        <f>SUM(Z59:Z63)</f>
        <v>0</v>
      </c>
      <c r="AA64" s="614"/>
      <c r="AB64" s="614"/>
      <c r="AC64" s="24">
        <v>5</v>
      </c>
      <c r="AD64" s="24">
        <f>SUM(AD59:AD63)</f>
        <v>0</v>
      </c>
      <c r="AE64" s="14">
        <f t="shared" si="43"/>
        <v>-105.94018201891458</v>
      </c>
      <c r="AF64" s="384">
        <f t="shared" si="9"/>
        <v>0.95585825749211895</v>
      </c>
      <c r="AG64" s="615"/>
    </row>
    <row r="65" spans="4:5">
      <c r="D65" s="25"/>
      <c r="E65" s="25"/>
    </row>
  </sheetData>
  <mergeCells count="17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9:A34"/>
    <mergeCell ref="C29:D29"/>
    <mergeCell ref="R29:R34"/>
    <mergeCell ref="AA29:AB29"/>
    <mergeCell ref="AA34:AB34"/>
    <mergeCell ref="AG35:AG40"/>
    <mergeCell ref="C36:D36"/>
    <mergeCell ref="AA36:AB36"/>
    <mergeCell ref="C37:D37"/>
    <mergeCell ref="AA37:AB37"/>
    <mergeCell ref="C38:D38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8:AB38"/>
    <mergeCell ref="C39:D39"/>
    <mergeCell ref="AA39:AB39"/>
    <mergeCell ref="C40:D40"/>
    <mergeCell ref="AA40:AB40"/>
    <mergeCell ref="A41:A45"/>
    <mergeCell ref="C41:D41"/>
    <mergeCell ref="R41:R45"/>
    <mergeCell ref="AA41:AB41"/>
    <mergeCell ref="A35:A40"/>
    <mergeCell ref="C35:D35"/>
    <mergeCell ref="R35:R40"/>
    <mergeCell ref="AA35:AB35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A46:A53"/>
    <mergeCell ref="C46:D46"/>
    <mergeCell ref="R46:R53"/>
    <mergeCell ref="AA46:AB46"/>
    <mergeCell ref="AG46:AG53"/>
    <mergeCell ref="C47:D47"/>
    <mergeCell ref="AA47:AB47"/>
    <mergeCell ref="C48:D48"/>
    <mergeCell ref="AA48:AB48"/>
    <mergeCell ref="AA49:AB49"/>
    <mergeCell ref="AG54:AG58"/>
    <mergeCell ref="C55:D55"/>
    <mergeCell ref="AA55:AB55"/>
    <mergeCell ref="C56:D56"/>
    <mergeCell ref="AA56:AB56"/>
    <mergeCell ref="C57:D57"/>
    <mergeCell ref="AA50:AB50"/>
    <mergeCell ref="C51:D51"/>
    <mergeCell ref="AA51:AB51"/>
    <mergeCell ref="C52:D52"/>
    <mergeCell ref="AA52:AB52"/>
    <mergeCell ref="C53:D53"/>
    <mergeCell ref="AA53:AB53"/>
    <mergeCell ref="AA57:AB57"/>
    <mergeCell ref="C58:D58"/>
    <mergeCell ref="AA58:AB58"/>
    <mergeCell ref="A59:A64"/>
    <mergeCell ref="C59:D59"/>
    <mergeCell ref="R59:R64"/>
    <mergeCell ref="AA59:AB59"/>
    <mergeCell ref="AA64:AB64"/>
    <mergeCell ref="A54:A58"/>
    <mergeCell ref="C54:D54"/>
    <mergeCell ref="R54:R58"/>
    <mergeCell ref="AA54:AB54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</mergeCells>
  <phoneticPr fontId="3" type="noConversion"/>
  <conditionalFormatting sqref="O53:O54 O57:O64 O5:O9 O12:O14 O20:O51">
    <cfRule type="cellIs" dxfId="1307" priority="48" operator="greaterThan">
      <formula>0</formula>
    </cfRule>
  </conditionalFormatting>
  <conditionalFormatting sqref="P5:P7 P57 AE57 P59:P63 P29:P33 P54 P9 P12:P14 P21:P27 P46:P51 P35:P44 AE5:AE54 AE59:AE64">
    <cfRule type="cellIs" dxfId="1306" priority="52" operator="lessThan">
      <formula>0</formula>
    </cfRule>
  </conditionalFormatting>
  <conditionalFormatting sqref="AF57 Q53:Q54 Q57:Q64 Q5:Q9 Q12:Q14 Q20:Q51 AF5:AF54 AF59:AF64">
    <cfRule type="cellIs" dxfId="1305" priority="49" operator="greaterThan">
      <formula>1</formula>
    </cfRule>
    <cfRule type="cellIs" dxfId="1304" priority="50" operator="lessThan">
      <formula>0.8</formula>
    </cfRule>
  </conditionalFormatting>
  <conditionalFormatting sqref="AG13:AG14 R13:R14 AG57 R20:R26 AG20:AG26 AG53:AG54 R53:R54 R57:R64 AG5:AG9 R5:R9 AG28:AG51 R28:R51">
    <cfRule type="cellIs" dxfId="1303" priority="54" operator="lessThan">
      <formula>0.8</formula>
    </cfRule>
  </conditionalFormatting>
  <conditionalFormatting sqref="AG41">
    <cfRule type="cellIs" dxfId="1302" priority="56" operator="lessThan">
      <formula>0.8</formula>
    </cfRule>
  </conditionalFormatting>
  <conditionalFormatting sqref="AG21:AG26">
    <cfRule type="cellIs" dxfId="1301" priority="53" operator="lessThan">
      <formula>0.8</formula>
    </cfRule>
  </conditionalFormatting>
  <conditionalFormatting sqref="AG29">
    <cfRule type="cellIs" dxfId="1300" priority="55" operator="lessThan">
      <formula>0.8</formula>
    </cfRule>
  </conditionalFormatting>
  <conditionalFormatting sqref="AG35:AG39">
    <cfRule type="cellIs" dxfId="1299" priority="51" operator="lessThan">
      <formula>0.8</formula>
    </cfRule>
  </conditionalFormatting>
  <conditionalFormatting sqref="AE58">
    <cfRule type="cellIs" dxfId="1298" priority="47" operator="lessThan">
      <formula>0</formula>
    </cfRule>
  </conditionalFormatting>
  <conditionalFormatting sqref="AF58">
    <cfRule type="cellIs" dxfId="1297" priority="45" operator="greaterThan">
      <formula>1</formula>
    </cfRule>
    <cfRule type="cellIs" dxfId="1296" priority="46" operator="lessThan">
      <formula>0.8</formula>
    </cfRule>
  </conditionalFormatting>
  <conditionalFormatting sqref="O15:O16">
    <cfRule type="cellIs" dxfId="1295" priority="40" operator="greaterThan">
      <formula>0</formula>
    </cfRule>
  </conditionalFormatting>
  <conditionalFormatting sqref="P15:P16">
    <cfRule type="cellIs" dxfId="1294" priority="43" operator="lessThan">
      <formula>0</formula>
    </cfRule>
  </conditionalFormatting>
  <conditionalFormatting sqref="Q15:Q16">
    <cfRule type="cellIs" dxfId="1293" priority="41" operator="greaterThan">
      <formula>1</formula>
    </cfRule>
    <cfRule type="cellIs" dxfId="1292" priority="42" operator="lessThan">
      <formula>0.8</formula>
    </cfRule>
  </conditionalFormatting>
  <conditionalFormatting sqref="R15:R16 AG15:AG16">
    <cfRule type="cellIs" dxfId="1291" priority="44" operator="lessThan">
      <formula>0.8</formula>
    </cfRule>
  </conditionalFormatting>
  <conditionalFormatting sqref="O10:O11">
    <cfRule type="cellIs" dxfId="1290" priority="36" operator="greaterThan">
      <formula>0</formula>
    </cfRule>
  </conditionalFormatting>
  <conditionalFormatting sqref="P10:P11">
    <cfRule type="cellIs" dxfId="1289" priority="39" operator="lessThan">
      <formula>0</formula>
    </cfRule>
  </conditionalFormatting>
  <conditionalFormatting sqref="Q10:Q11">
    <cfRule type="cellIs" dxfId="1288" priority="37" operator="greaterThan">
      <formula>1</formula>
    </cfRule>
    <cfRule type="cellIs" dxfId="1287" priority="38" operator="lessThan">
      <formula>0.8</formula>
    </cfRule>
  </conditionalFormatting>
  <conditionalFormatting sqref="O52">
    <cfRule type="cellIs" dxfId="1286" priority="31" operator="greaterThan">
      <formula>0</formula>
    </cfRule>
  </conditionalFormatting>
  <conditionalFormatting sqref="P52">
    <cfRule type="cellIs" dxfId="1285" priority="34" operator="lessThan">
      <formula>0</formula>
    </cfRule>
  </conditionalFormatting>
  <conditionalFormatting sqref="Q52">
    <cfRule type="cellIs" dxfId="1284" priority="32" operator="greaterThan">
      <formula>1</formula>
    </cfRule>
    <cfRule type="cellIs" dxfId="1283" priority="33" operator="lessThan">
      <formula>0.8</formula>
    </cfRule>
  </conditionalFormatting>
  <conditionalFormatting sqref="R52 AG52">
    <cfRule type="cellIs" dxfId="1282" priority="35" operator="lessThan">
      <formula>0.8</formula>
    </cfRule>
  </conditionalFormatting>
  <conditionalFormatting sqref="O56">
    <cfRule type="cellIs" dxfId="1281" priority="26" operator="greaterThan">
      <formula>0</formula>
    </cfRule>
  </conditionalFormatting>
  <conditionalFormatting sqref="P56 AE56">
    <cfRule type="cellIs" dxfId="1280" priority="29" operator="lessThan">
      <formula>0</formula>
    </cfRule>
  </conditionalFormatting>
  <conditionalFormatting sqref="Q56 AF56">
    <cfRule type="cellIs" dxfId="1279" priority="27" operator="greaterThan">
      <formula>1</formula>
    </cfRule>
    <cfRule type="cellIs" dxfId="1278" priority="28" operator="lessThan">
      <formula>0.8</formula>
    </cfRule>
  </conditionalFormatting>
  <conditionalFormatting sqref="R56 AG56">
    <cfRule type="cellIs" dxfId="1277" priority="30" operator="lessThan">
      <formula>0.8</formula>
    </cfRule>
  </conditionalFormatting>
  <conditionalFormatting sqref="O17:O18">
    <cfRule type="cellIs" dxfId="1276" priority="21" operator="greaterThan">
      <formula>0</formula>
    </cfRule>
  </conditionalFormatting>
  <conditionalFormatting sqref="P17:P18">
    <cfRule type="cellIs" dxfId="1275" priority="24" operator="lessThan">
      <formula>0</formula>
    </cfRule>
  </conditionalFormatting>
  <conditionalFormatting sqref="Q17:Q18">
    <cfRule type="cellIs" dxfId="1274" priority="22" operator="greaterThan">
      <formula>1</formula>
    </cfRule>
    <cfRule type="cellIs" dxfId="1273" priority="23" operator="lessThan">
      <formula>0.8</formula>
    </cfRule>
  </conditionalFormatting>
  <conditionalFormatting sqref="R17:R18 AG17:AG18">
    <cfRule type="cellIs" dxfId="1272" priority="25" operator="lessThan">
      <formula>0.8</formula>
    </cfRule>
  </conditionalFormatting>
  <conditionalFormatting sqref="R27 AG27">
    <cfRule type="cellIs" dxfId="1271" priority="20" operator="lessThan">
      <formula>0.8</formula>
    </cfRule>
  </conditionalFormatting>
  <conditionalFormatting sqref="AG27">
    <cfRule type="cellIs" dxfId="1270" priority="19" operator="lessThan">
      <formula>0.8</formula>
    </cfRule>
  </conditionalFormatting>
  <conditionalFormatting sqref="O55">
    <cfRule type="cellIs" dxfId="1269" priority="14" operator="greaterThan">
      <formula>0</formula>
    </cfRule>
  </conditionalFormatting>
  <conditionalFormatting sqref="P55 AE55">
    <cfRule type="cellIs" dxfId="1268" priority="17" operator="lessThan">
      <formula>0</formula>
    </cfRule>
  </conditionalFormatting>
  <conditionalFormatting sqref="Q55 AF55">
    <cfRule type="cellIs" dxfId="1267" priority="15" operator="greaterThan">
      <formula>1</formula>
    </cfRule>
    <cfRule type="cellIs" dxfId="1266" priority="16" operator="lessThan">
      <formula>0.8</formula>
    </cfRule>
  </conditionalFormatting>
  <conditionalFormatting sqref="R55 AG55">
    <cfRule type="cellIs" dxfId="1265" priority="18" operator="lessThan">
      <formula>0.8</formula>
    </cfRule>
  </conditionalFormatting>
  <conditionalFormatting sqref="O19">
    <cfRule type="cellIs" dxfId="1264" priority="9" operator="greaterThan">
      <formula>0</formula>
    </cfRule>
  </conditionalFormatting>
  <conditionalFormatting sqref="P19">
    <cfRule type="cellIs" dxfId="1263" priority="12" operator="lessThan">
      <formula>0</formula>
    </cfRule>
  </conditionalFormatting>
  <conditionalFormatting sqref="Q19">
    <cfRule type="cellIs" dxfId="1262" priority="10" operator="greaterThan">
      <formula>1</formula>
    </cfRule>
    <cfRule type="cellIs" dxfId="1261" priority="11" operator="lessThan">
      <formula>0.8</formula>
    </cfRule>
  </conditionalFormatting>
  <conditionalFormatting sqref="AG19 R19">
    <cfRule type="cellIs" dxfId="1260" priority="13" operator="lessThan">
      <formula>0.8</formula>
    </cfRule>
  </conditionalFormatting>
  <conditionalFormatting sqref="P8">
    <cfRule type="cellIs" dxfId="1259" priority="8" operator="lessThan">
      <formula>0</formula>
    </cfRule>
  </conditionalFormatting>
  <conditionalFormatting sqref="P20">
    <cfRule type="cellIs" dxfId="1258" priority="7" operator="lessThan">
      <formula>0</formula>
    </cfRule>
  </conditionalFormatting>
  <conditionalFormatting sqref="P28">
    <cfRule type="cellIs" dxfId="1257" priority="6" operator="lessThan">
      <formula>0</formula>
    </cfRule>
  </conditionalFormatting>
  <conditionalFormatting sqref="P34">
    <cfRule type="cellIs" dxfId="1256" priority="5" operator="lessThan">
      <formula>0</formula>
    </cfRule>
  </conditionalFormatting>
  <conditionalFormatting sqref="P45">
    <cfRule type="cellIs" dxfId="1255" priority="4" operator="lessThan">
      <formula>0</formula>
    </cfRule>
  </conditionalFormatting>
  <conditionalFormatting sqref="P53">
    <cfRule type="cellIs" dxfId="1254" priority="3" operator="lessThan">
      <formula>0</formula>
    </cfRule>
  </conditionalFormatting>
  <conditionalFormatting sqref="P58">
    <cfRule type="cellIs" dxfId="1253" priority="2" operator="lessThan">
      <formula>0</formula>
    </cfRule>
  </conditionalFormatting>
  <conditionalFormatting sqref="P64">
    <cfRule type="cellIs" dxfId="1252" priority="1" operator="lessThan">
      <formula>0</formula>
    </cfRule>
  </conditionalFormatting>
  <dataValidations count="1">
    <dataValidation type="list" allowBlank="1" showInputMessage="1" showErrorMessage="1" sqref="AB8 AA5:AB7 AA8:AA57 AB10:AB54 AA58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8" sqref="A1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1671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1672</v>
      </c>
      <c r="C3" s="601" t="str">
        <f>TEXT('0619 4度C'!A2,"yyyy.mm.ddaaaa")</f>
        <v>2026.06.19星期五</v>
      </c>
      <c r="D3" s="602"/>
      <c r="E3" s="39" t="s">
        <v>1673</v>
      </c>
      <c r="F3" s="603">
        <f>'0619 4度C'!D1</f>
        <v>134130</v>
      </c>
      <c r="G3" s="604"/>
      <c r="H3" s="39" t="s">
        <v>1674</v>
      </c>
      <c r="I3" s="605">
        <f>'0619 4度C'!F1</f>
        <v>4586132.3</v>
      </c>
      <c r="J3" s="606"/>
      <c r="K3" s="40"/>
      <c r="L3" s="41"/>
      <c r="M3" s="42"/>
      <c r="N3" s="42"/>
    </row>
    <row r="4" spans="2:17" ht="28.5" customHeight="1">
      <c r="B4" s="607" t="s">
        <v>1675</v>
      </c>
      <c r="C4" s="593" t="s">
        <v>1676</v>
      </c>
      <c r="D4" s="594"/>
      <c r="E4" s="610" t="s">
        <v>1677</v>
      </c>
      <c r="F4" s="611"/>
      <c r="G4" s="610" t="s">
        <v>1678</v>
      </c>
      <c r="H4" s="611"/>
      <c r="I4" s="610" t="s">
        <v>1679</v>
      </c>
      <c r="J4" s="611"/>
      <c r="K4" s="591" t="s">
        <v>1680</v>
      </c>
      <c r="L4" s="592"/>
      <c r="M4" s="592" t="s">
        <v>1681</v>
      </c>
      <c r="N4" s="592"/>
    </row>
    <row r="5" spans="2:17" ht="28.5" customHeight="1">
      <c r="B5" s="608"/>
      <c r="C5" s="593" t="s">
        <v>1682</v>
      </c>
      <c r="D5" s="594"/>
      <c r="E5" s="593" t="s">
        <v>1683</v>
      </c>
      <c r="F5" s="594"/>
      <c r="G5" s="595" t="s">
        <v>1684</v>
      </c>
      <c r="H5" s="596"/>
      <c r="I5" s="597" t="s">
        <v>1685</v>
      </c>
      <c r="J5" s="598"/>
      <c r="K5" s="43" t="s">
        <v>1686</v>
      </c>
      <c r="L5" s="44" t="s">
        <v>1687</v>
      </c>
      <c r="M5" s="43" t="s">
        <v>1686</v>
      </c>
      <c r="N5" s="44" t="s">
        <v>1688</v>
      </c>
    </row>
    <row r="6" spans="2:17" ht="28.5" customHeight="1">
      <c r="B6" s="608"/>
      <c r="C6" s="593" t="s">
        <v>58</v>
      </c>
      <c r="D6" s="594"/>
      <c r="E6" s="585">
        <f>AVERAGE(D13:M13)</f>
        <v>153.25906104019904</v>
      </c>
      <c r="F6" s="586">
        <f>AVERAGE(D31:O31,D13:J13)</f>
        <v>159.25216119863742</v>
      </c>
      <c r="G6" s="587">
        <f>AVERAGE(D13:J13)</f>
        <v>159.25216119863742</v>
      </c>
      <c r="H6" s="588"/>
      <c r="I6" s="587">
        <f>AVERAGE(K13:M13)</f>
        <v>139.27516067050951</v>
      </c>
      <c r="J6" s="588"/>
      <c r="K6" s="589">
        <f>'0619 4度C'!Y2</f>
        <v>0</v>
      </c>
      <c r="L6" s="574">
        <f>'0619 4度C'!Z2</f>
        <v>0</v>
      </c>
      <c r="M6" s="590">
        <f>'0619 4度C'!AC2</f>
        <v>51</v>
      </c>
      <c r="N6" s="574">
        <f>'0619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146.94035687959695</v>
      </c>
      <c r="F7" s="578">
        <f>AVERAGE(D32:O32,D14:J14)</f>
        <v>152.77928410661607</v>
      </c>
      <c r="G7" s="579">
        <f>AVERAGE(D14:J14)</f>
        <v>152.77928410661607</v>
      </c>
      <c r="H7" s="580"/>
      <c r="I7" s="579">
        <f>AVERAGE(K14:M14)</f>
        <v>133.31619334988571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0.95824740178070533</v>
      </c>
      <c r="F8" s="582">
        <f>AVERAGE(D15:J15,D33:O33)</f>
        <v>0.95871523018771387</v>
      </c>
      <c r="G8" s="583">
        <f>AVERAGE(D15:J15)</f>
        <v>0.95871523018771387</v>
      </c>
      <c r="H8" s="584"/>
      <c r="I8" s="583">
        <f>AVERAGE(K15:M15)</f>
        <v>0.9571558021643517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1689</v>
      </c>
      <c r="N9" s="42"/>
      <c r="O9" s="42"/>
      <c r="P9" s="42"/>
      <c r="Q9" s="42"/>
    </row>
    <row r="10" spans="2:17" ht="30" customHeight="1">
      <c r="B10" s="557" t="s">
        <v>1690</v>
      </c>
      <c r="C10" s="558"/>
      <c r="D10" s="559" t="s">
        <v>1691</v>
      </c>
      <c r="E10" s="560"/>
      <c r="F10" s="560"/>
      <c r="G10" s="560"/>
      <c r="H10" s="560"/>
      <c r="I10" s="560"/>
      <c r="J10" s="561"/>
      <c r="K10" s="562" t="s">
        <v>1692</v>
      </c>
      <c r="L10" s="563"/>
      <c r="M10" s="564"/>
      <c r="P10" s="48"/>
      <c r="Q10" s="48"/>
    </row>
    <row r="11" spans="2:17" ht="17.25" customHeight="1">
      <c r="B11" s="565" t="s">
        <v>1693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1694</v>
      </c>
      <c r="C13" s="55" t="s">
        <v>1695</v>
      </c>
      <c r="D13" s="56">
        <f>SUMIFS('0619 4度C'!$K:$K,'0619 4度C'!$A:$A,"新豐6線",'0619 4度C'!$B:$B,"平均")</f>
        <v>130.43478260869566</v>
      </c>
      <c r="E13" s="57">
        <f>SUMIFS('0619 4度C'!$K:$K,'0619 4度C'!$A:$A,"新豐2線",'0619 4度C'!$B:$B,"平均")</f>
        <v>86.538461538461547</v>
      </c>
      <c r="F13" s="58">
        <f>SUMIFS('0619 4度C'!$K:$K,'0619 4度C'!$A:$A,"新豐5線",'0619 4度C'!$B:$B,"平均")</f>
        <v>87.786259541984734</v>
      </c>
      <c r="G13" s="58">
        <f>SUMIFS('0619 4度C'!$K:$K,'0619 4度C'!$A:$A,"新豐7線",'0619 4度C'!$B:$B,"平均")</f>
        <v>115.38461538461539</v>
      </c>
      <c r="H13" s="58">
        <f>SUMIFS('0619 4度C'!$K:$K,'0619 4度C'!$A:$A,"新豐3線",'0619 4度C'!$B:$B,"平均")</f>
        <v>255.81395348837211</v>
      </c>
      <c r="I13" s="58">
        <f>SUMIFS('0619 4度C'!$K:$K,'0619 4度C'!$A:$A,"新豐1線",'0619 4度C'!$B:$B,"平均")</f>
        <v>119.65811965811965</v>
      </c>
      <c r="J13" s="59">
        <f>SUMIFS('0619 4度C'!$K:$K,'0619 4度C'!$A:$A,"新豐10線",'0619 4度C'!$B:$B,"平均")</f>
        <v>319.14893617021278</v>
      </c>
      <c r="K13" s="60">
        <f>SUMIFS('0619 4度C'!$K:$K,'0619 4度C'!$A:$A,"新豐8線",'0619 4度C'!$B:$B,"平均")</f>
        <v>139.53488372093022</v>
      </c>
      <c r="L13" s="61">
        <f>SUMIFS('0619 4度C'!$K:$K,'0619 4度C'!$A:$A,"新豐9線",'0619 4度C'!$B:$B,"平均")</f>
        <v>124.44444444444444</v>
      </c>
      <c r="M13" s="59">
        <f>SUMIFS('0619 4度C'!$K:$K,'0619 4度C'!$A:$A,"新豐4線",'0619 4度C'!$B:$B,"平均")</f>
        <v>153.84615384615384</v>
      </c>
    </row>
    <row r="14" spans="2:17" ht="39.6" customHeight="1">
      <c r="B14" s="570"/>
      <c r="C14" s="62" t="s">
        <v>1696</v>
      </c>
      <c r="D14" s="63">
        <f>SUMIFS('0619 4度C'!$N:$N,'0619 4度C'!$A:$A,"新豐6線",'0619 4度C'!$B:$B,"平均")</f>
        <v>125.21731288035635</v>
      </c>
      <c r="E14" s="64">
        <f>SUMIFS('0619 4度C'!$N:$N,'0619 4度C'!$A:$A,"新豐2線",'0619 4度C'!$B:$B,"平均")</f>
        <v>82.640838804960964</v>
      </c>
      <c r="F14" s="64">
        <f>SUMIFS('0619 4度C'!$N:$N,'0619 4度C'!$A:$A,"新豐5線",'0619 4度C'!$B:$B,"平均")</f>
        <v>83.923635733116285</v>
      </c>
      <c r="G14" s="64">
        <f>SUMIFS('0619 4度C'!$N:$N,'0619 4度C'!$A:$A,"新豐7線",'0619 4度C'!$B:$B,"平均")</f>
        <v>110.86449562152811</v>
      </c>
      <c r="H14" s="64">
        <f>SUMIFS('0619 4度C'!$N:$N,'0619 4度C'!$A:$A,"新豐3線",'0619 4度C'!$B:$B,"平均")</f>
        <v>243.86484914103198</v>
      </c>
      <c r="I14" s="64">
        <f>SUMIFS('0619 4度C'!$N:$N,'0619 4度C'!$A:$A,"新豐1線",'0619 4度C'!$B:$B,"平均")</f>
        <v>114.99407698492365</v>
      </c>
      <c r="J14" s="65">
        <f>SUMIFS('0619 4度C'!$N:$N,'0619 4度C'!$A:$A,"新豐10線",'0619 4度C'!$B:$B,"平均")</f>
        <v>307.94977958039527</v>
      </c>
      <c r="K14" s="66">
        <f>SUMIFS('0619 4度C'!$N:$N,'0619 4度C'!$A:$A,"新豐8線",'0619 4度C'!$B:$B,"平均")</f>
        <v>133.48379227415404</v>
      </c>
      <c r="L14" s="67">
        <f>SUMIFS('0619 4度C'!$N:$N,'0619 4度C'!$A:$A,"新豐9線",'0619 4度C'!$B:$B,"平均")</f>
        <v>119.04065946473803</v>
      </c>
      <c r="M14" s="65">
        <f>SUMIFS('0619 4度C'!$N:$N,'0619 4度C'!$A:$A,"新豐4線",'0619 4度C'!$B:$B,"平均")</f>
        <v>147.42412831076507</v>
      </c>
    </row>
    <row r="15" spans="2:17" ht="40.15" customHeight="1">
      <c r="B15" s="571"/>
      <c r="C15" s="68" t="s">
        <v>1697</v>
      </c>
      <c r="D15" s="69">
        <f t="shared" ref="D15:M15" si="0">D14/D13</f>
        <v>0.95999939874939866</v>
      </c>
      <c r="E15" s="70">
        <f t="shared" si="0"/>
        <v>0.95496080396843774</v>
      </c>
      <c r="F15" s="70">
        <f t="shared" si="0"/>
        <v>0.95599967661202023</v>
      </c>
      <c r="G15" s="70">
        <f t="shared" si="0"/>
        <v>0.96082562871991029</v>
      </c>
      <c r="H15" s="70">
        <f t="shared" si="0"/>
        <v>0.95328986482403411</v>
      </c>
      <c r="I15" s="70">
        <f t="shared" si="0"/>
        <v>0.96102192908829065</v>
      </c>
      <c r="J15" s="71">
        <f t="shared" si="0"/>
        <v>0.96490930935190511</v>
      </c>
      <c r="K15" s="69">
        <f t="shared" si="0"/>
        <v>0.9566338446314373</v>
      </c>
      <c r="L15" s="70">
        <f t="shared" si="0"/>
        <v>0.95657672784164482</v>
      </c>
      <c r="M15" s="71">
        <f t="shared" si="0"/>
        <v>0.95825683401997297</v>
      </c>
    </row>
    <row r="16" spans="2:17" ht="17.25" customHeight="1">
      <c r="B16" s="572" t="s">
        <v>1698</v>
      </c>
      <c r="C16" s="72" t="s">
        <v>1699</v>
      </c>
      <c r="D16" s="73">
        <f>VLOOKUP("新豐6線",'0619 4度C'!$A:$T,19,0)</f>
        <v>0.70833333333333337</v>
      </c>
      <c r="E16" s="74">
        <f>VLOOKUP("新豐2線",'0619 4度C'!$A:$T,19,0)</f>
        <v>8.3333333333333329E-2</v>
      </c>
      <c r="F16" s="74">
        <f>VLOOKUP("新豐5線",'0619 4度C'!$A:$T,19,0)</f>
        <v>8.3333333333333329E-2</v>
      </c>
      <c r="G16" s="74">
        <f>VLOOKUP("新豐7線",'0619 4度C'!$A:$T,19,0)</f>
        <v>0.20833333333333334</v>
      </c>
      <c r="H16" s="74">
        <f>VLOOKUP("新豐3線",'0619 4度C'!$A:$T,19,0)</f>
        <v>8.3333333333333329E-2</v>
      </c>
      <c r="I16" s="74">
        <f>VLOOKUP("新豐1線",'0619 4度C'!$A:$T,19,0)</f>
        <v>0.16666666666666666</v>
      </c>
      <c r="J16" s="75">
        <f>VLOOKUP("新豐10線",'0619 4度C'!$A:$T,19,0)</f>
        <v>0.20833333333333334</v>
      </c>
      <c r="K16" s="76">
        <f>VLOOKUP("新豐8線",'0619 4度C'!$A:$T,19,0)</f>
        <v>8.3333333333333329E-2</v>
      </c>
      <c r="L16" s="77">
        <f>VLOOKUP("新豐9線",'0619 4度C'!$A:$T,19,0)</f>
        <v>8.3333333333333329E-2</v>
      </c>
      <c r="M16" s="78">
        <f>VLOOKUP("新豐4線",'0619 4度C'!$A:$T,19,0)</f>
        <v>8.3333333333333329E-2</v>
      </c>
    </row>
    <row r="17" spans="2:13" ht="17.25" customHeight="1">
      <c r="B17" s="573"/>
      <c r="C17" s="72" t="s">
        <v>1700</v>
      </c>
      <c r="D17" s="76">
        <f>LOOKUP(2,1/(('0619 4度C'!$A:$A="新豐6線")*('0619 4度C'!$T:$T&lt;&gt;"")),'0619 4度C'!$T:$T)</f>
        <v>0.81666666666666665</v>
      </c>
      <c r="E17" s="74">
        <f>LOOKUP(2,1/(('0619 4度C'!$A:$A="新豐2線")*('0619 4度C'!$T:$T&lt;&gt;"")),'0619 4度C'!$T:$T)</f>
        <v>0.42013888888888884</v>
      </c>
      <c r="F17" s="74">
        <f>LOOKUP(2,1/(('0619 4度C'!$A:$A="新豐5線")*('0619 4度C'!$T:$T&lt;&gt;"")),'0619 4度C'!$T:$T)</f>
        <v>0.78750000000000009</v>
      </c>
      <c r="G17" s="74">
        <f>LOOKUP(2,1/(('0619 4度C'!$A:$A="新豐7線")*('0619 4度C'!$T:$T&lt;&gt;"")),'0619 4度C'!$T:$T)</f>
        <v>0.78333333333333333</v>
      </c>
      <c r="H17" s="74">
        <f>LOOKUP(2,1/(('0619 4度C'!$A:$A="新豐3線")*('0619 4度C'!$T:$T&lt;&gt;"")),'0619 4度C'!$T:$T)</f>
        <v>0.30972222222222223</v>
      </c>
      <c r="I17" s="74">
        <f>LOOKUP(2,1/(('0619 4度C'!$A:$A="新豐1線")*('0619 4度C'!$T:$T&lt;&gt;"")),'0619 4度C'!$T:$T)</f>
        <v>0.80486111111111114</v>
      </c>
      <c r="J17" s="75">
        <f>LOOKUP(2,1/(('0619 4度C'!$A:$A="新豐10線")*('0619 4度C'!$T:$T&lt;&gt;"")),'0619 4度C'!$T:$T)</f>
        <v>0.34791666666666665</v>
      </c>
      <c r="K17" s="73">
        <f>LOOKUP(2,1/(('0619 4度C'!$A:$A="新豐8線")*('0619 4度C'!$T:$T&lt;&gt;"")),'0619 4度C'!$T:$T)</f>
        <v>0.50902777777777775</v>
      </c>
      <c r="L17" s="74">
        <f>LOOKUP(2,1/(('0619 4度C'!$A:$A="新豐9線")*('0619 4度C'!$T:$T&lt;&gt;"")),'0619 4度C'!$T:$T)</f>
        <v>0.51874999999999993</v>
      </c>
      <c r="M17" s="75">
        <f>LOOKUP(2,1/(('0619 4度C'!$A:$A="新豐4線")*('0619 4度C'!$T:$T&lt;&gt;"")),'0619 4度C'!$T:$T)</f>
        <v>0.49722222222222218</v>
      </c>
    </row>
    <row r="18" spans="2:13" ht="17.25" customHeight="1">
      <c r="B18" s="551" t="s">
        <v>1701</v>
      </c>
      <c r="C18" s="79" t="s">
        <v>1702</v>
      </c>
      <c r="D18" s="80">
        <f>SUMIFS('0619 4度C'!$Y:$Y,'0619 4度C'!$A:$A,"新豐6線",'0619 4度C'!$B:$B,"平均")</f>
        <v>0</v>
      </c>
      <c r="E18" s="81">
        <f>SUMIFS('0619 4度C'!$Y:$Y,'0619 4度C'!$A:$A,"新豐2線",'0619 4度C'!$B:$B,"平均")</f>
        <v>0</v>
      </c>
      <c r="F18" s="81">
        <f>SUMIFS('0619 4度C'!$Y:$Y,'0619 4度C'!$A:$A,"新豐5線",'0619 4度C'!$B:$B,"平均")</f>
        <v>0</v>
      </c>
      <c r="G18" s="81">
        <f>SUMIFS('0619 4度C'!$Y:$Y,'0619 4度C'!$A:$A,"新豐7線",'0619 4度C'!$B:$B,"平均")</f>
        <v>0</v>
      </c>
      <c r="H18" s="81">
        <f>SUMIFS('0619 4度C'!$Y:$Y,'0619 4度C'!$A:$A,"新豐3線",'0619 4度C'!$B:$B,"平均")</f>
        <v>0</v>
      </c>
      <c r="I18" s="81">
        <f>SUMIFS('0619 4度C'!$Y:$Y,'0619 4度C'!$A:$A,"新豐1線",'0619 4度C'!$B:$B,"平均")</f>
        <v>0</v>
      </c>
      <c r="J18" s="82">
        <f>SUMIFS('0619 4度C'!$Y:$Y,'0619 4度C'!$A:$A,"新豐10線",'0619 4度C'!$B:$B,"平均")</f>
        <v>0</v>
      </c>
      <c r="K18" s="83">
        <f>SUMIFS('0619 4度C'!$Y:$Y,'0619 4度C'!$A:$A,"新豐8線",'0619 4度C'!$B:$B,"平均")</f>
        <v>0</v>
      </c>
      <c r="L18" s="81">
        <f>SUMIFS('0619 4度C'!$Y:$Y,'0619 4度C'!$A:$A,"新豐9線",'0619 4度C'!$B:$B,"平均")</f>
        <v>0</v>
      </c>
      <c r="M18" s="82">
        <f>SUMIFS('0619 4度C'!$Y:$Y,'0619 4度C'!$A:$A,"新豐4線",'0619 4度C'!$B:$B,"平均")</f>
        <v>0</v>
      </c>
    </row>
    <row r="19" spans="2:13" ht="17.25" customHeight="1">
      <c r="B19" s="552"/>
      <c r="C19" s="79" t="s">
        <v>1703</v>
      </c>
      <c r="D19" s="80">
        <f>SUMIFS('0619 4度C'!$Z:$Z,'0619 4度C'!$A:$A,"新豐6線",'0619 4度C'!$B:$B,"平均")</f>
        <v>0</v>
      </c>
      <c r="E19" s="81">
        <f>SUMIFS('0619 4度C'!$Z:$Z,'0619 4度C'!$A:$A,"新豐2線",'0619 4度C'!$B:$B,"平均")</f>
        <v>0</v>
      </c>
      <c r="F19" s="81">
        <f>SUMIFS('0619 4度C'!$Z:$Z,'0619 4度C'!$A:$A,"新豐5線",'0619 4度C'!$B:$B,"平均")</f>
        <v>0</v>
      </c>
      <c r="G19" s="81">
        <f>SUMIFS('0619 4度C'!$Z:$Z,'0619 4度C'!$A:$A,"新豐7線",'0619 4度C'!$B:$B,"平均")</f>
        <v>0</v>
      </c>
      <c r="H19" s="81">
        <f>SUMIFS('0619 4度C'!$Z:$Z,'0619 4度C'!$A:$A,"新豐3線",'0619 4度C'!$B:$B,"平均")</f>
        <v>0</v>
      </c>
      <c r="I19" s="81">
        <f>SUMIFS('0619 4度C'!$Z:$Z,'0619 4度C'!$A:$A,"新豐1線",'0619 4度C'!$B:$B,"平均")</f>
        <v>0</v>
      </c>
      <c r="J19" s="82">
        <f>SUMIFS('0619 4度C'!$Z:$Z,'0619 4度C'!$A:$A,"新豐10線",'0619 4度C'!$B:$B,"平均")</f>
        <v>0</v>
      </c>
      <c r="K19" s="83">
        <f>SUMIFS('0619 4度C'!$Z:$Z,'0619 4度C'!$A:$A,"新豐8線",'0619 4度C'!$B:$B,"平均")</f>
        <v>0</v>
      </c>
      <c r="L19" s="81">
        <f>SUMIFS('0619 4度C'!$Z:$Z,'0619 4度C'!$A:$A,"新豐9線",'0619 4度C'!$B:$B,"平均")</f>
        <v>0</v>
      </c>
      <c r="M19" s="82">
        <f>SUMIFS('0619 4度C'!$Z:$Z,'0619 4度C'!$A:$A,"新豐4線",'0619 4度C'!$B:$B,"平均")</f>
        <v>0</v>
      </c>
    </row>
    <row r="20" spans="2:13" ht="17.25" customHeight="1">
      <c r="B20" s="551" t="s">
        <v>1704</v>
      </c>
      <c r="C20" s="79" t="s">
        <v>1702</v>
      </c>
      <c r="D20" s="80">
        <f>SUMIFS('0619 4度C'!$AC:$AC,'0619 4度C'!$A:$A,"新豐6線",'0619 4度C'!$B:$B,"平均")</f>
        <v>3</v>
      </c>
      <c r="E20" s="81">
        <f>SUMIFS('0619 4度C'!$AC:$AC,'0619 4度C'!$A:$A,"新豐2線",'0619 4度C'!$B:$B,"平均")</f>
        <v>3</v>
      </c>
      <c r="F20" s="81">
        <f>SUMIFS('0619 4度C'!$AC:$AC,'0619 4度C'!$A:$A,"新豐5線",'0619 4度C'!$B:$B,"平均")</f>
        <v>7</v>
      </c>
      <c r="G20" s="81">
        <f>SUMIFS('0619 4度C'!$AC:$AC,'0619 4度C'!$A:$A,"新豐7線",'0619 4度C'!$B:$B,"平均")</f>
        <v>7</v>
      </c>
      <c r="H20" s="81">
        <f>SUMIFS('0619 4度C'!$AC:$AC,'0619 4度C'!$A:$A,"新豐3線",'0619 4度C'!$B:$B,"平均")</f>
        <v>4</v>
      </c>
      <c r="I20" s="81">
        <f>SUMIFS('0619 4度C'!$AC:$AC,'0619 4度C'!$A:$A,"新豐1線",'0619 4度C'!$B:$B,"平均")</f>
        <v>7</v>
      </c>
      <c r="J20" s="82">
        <f>SUMIFS('0619 4度C'!$AC:$AC,'0619 4度C'!$A:$A,"新豐10線",'0619 4度C'!$B:$B,"平均")</f>
        <v>5</v>
      </c>
      <c r="K20" s="83">
        <f>SUMIFS('0619 4度C'!$AC:$AC,'0619 4度C'!$A:$A,"新豐8線",'0619 4度C'!$B:$B,"平均")</f>
        <v>5</v>
      </c>
      <c r="L20" s="81">
        <f>SUMIFS('0619 4度C'!$AC:$AC,'0619 4度C'!$A:$A,"新豐9線",'0619 4度C'!$B:$B,"平均")</f>
        <v>5</v>
      </c>
      <c r="M20" s="82">
        <f>SUMIFS('0619 4度C'!$AC:$AC,'0619 4度C'!$A:$A,"新豐4線",'0619 4度C'!$B:$B,"平均")</f>
        <v>5</v>
      </c>
    </row>
    <row r="21" spans="2:13" ht="17.25" customHeight="1">
      <c r="B21" s="552"/>
      <c r="C21" s="79" t="s">
        <v>1705</v>
      </c>
      <c r="D21" s="80">
        <f>SUMIFS('0619 4度C'!$AD:$AD,'0619 4度C'!$A:$A,"新豐6線",'0619 4度C'!$B:$B,"平均")</f>
        <v>0</v>
      </c>
      <c r="E21" s="81">
        <f>SUMIFS('0619 4度C'!$AD:$AD,'0619 4度C'!$A:$A,"新豐2線",'0619 4度C'!$B:$B,"平均")</f>
        <v>0</v>
      </c>
      <c r="F21" s="81">
        <f>SUMIFS('0619 4度C'!$AD:$AD,'0619 4度C'!$A:$A,"新豐5線",'0619 4度C'!$B:$B,"平均")</f>
        <v>0</v>
      </c>
      <c r="G21" s="81">
        <f>SUMIFS('0619 4度C'!$AD:$AD,'0619 4度C'!$A:$A,"新豐7線",'0619 4度C'!$B:$B,"平均")</f>
        <v>0</v>
      </c>
      <c r="H21" s="81">
        <f>SUMIFS('0619 4度C'!$AD:$AD,'0619 4度C'!$A:$A,"新豐3線",'0619 4度C'!$B:$B,"平均")</f>
        <v>0</v>
      </c>
      <c r="I21" s="81">
        <f>SUMIFS('0619 4度C'!$AD:$AD,'0619 4度C'!$A:$A,"新豐1線",'0619 4度C'!$B:$B,"平均")</f>
        <v>0</v>
      </c>
      <c r="J21" s="82">
        <f>SUMIFS('0619 4度C'!$AD:$AD,'0619 4度C'!$A:$A,"新豐10線",'0619 4度C'!$B:$B,"平均")</f>
        <v>0</v>
      </c>
      <c r="K21" s="83">
        <f>SUMIFS('0619 4度C'!$AD:$AD,'0619 4度C'!$A:$A,"新豐8線",'0619 4度C'!$B:$B,"平均")</f>
        <v>0</v>
      </c>
      <c r="L21" s="81">
        <f>SUMIFS('0619 4度C'!$AD:$AD,'0619 4度C'!$A:$A,"新豐9線",'0619 4度C'!$B:$B,"平均")</f>
        <v>0</v>
      </c>
      <c r="M21" s="82">
        <f>SUMIFS('0619 4度C'!$AD:$AD,'0619 4度C'!$A:$A,"新豐4線",'0619 4度C'!$B:$B,"平均")</f>
        <v>0</v>
      </c>
    </row>
    <row r="22" spans="2:13" ht="17.25" customHeight="1">
      <c r="B22" s="553" t="s">
        <v>1706</v>
      </c>
      <c r="C22" s="554"/>
      <c r="D22" s="84">
        <f>SUMIFS('0619 4度C'!$I:$I,'0619 4度C'!$A:$A,"新豐6線",'0619 4度C'!$B:$B,"平均")</f>
        <v>15.333333333333334</v>
      </c>
      <c r="E22" s="85">
        <f>SUMIFS('0619 4度C'!$I:$I,'0619 4度C'!$A:$A,"新豐2線",'0619 4度C'!$B:$B,"平均")</f>
        <v>17.333333333333332</v>
      </c>
      <c r="F22" s="85">
        <f>SUMIFS('0619 4度C'!$I:$I,'0619 4度C'!$A:$A,"新豐5線",'0619 4度C'!$B:$B,"平均")</f>
        <v>18.714285714285715</v>
      </c>
      <c r="G22" s="85">
        <f>SUMIFS('0619 4度C'!$I:$I,'0619 4度C'!$A:$A,"新豐7線",'0619 4度C'!$B:$B,"平均")</f>
        <v>16.714285714285715</v>
      </c>
      <c r="H22" s="85">
        <f>SUMIFS('0619 4度C'!$I:$I,'0619 4度C'!$A:$A,"新豐3線",'0619 4度C'!$B:$B,"平均")</f>
        <v>10.75</v>
      </c>
      <c r="I22" s="85">
        <f>SUMIFS('0619 4度C'!$I:$I,'0619 4度C'!$A:$A,"新豐1線",'0619 4度C'!$B:$B,"平均")</f>
        <v>16.714285714285715</v>
      </c>
      <c r="J22" s="86">
        <f>SUMIFS('0619 4度C'!$I:$I,'0619 4度C'!$A:$A,"新豐10線",'0619 4度C'!$B:$B,"平均")</f>
        <v>9.4</v>
      </c>
      <c r="K22" s="84">
        <f>SUMIFS('0619 4度C'!$I:$I,'0619 4度C'!$A:$A,"新豐8線",'0619 4度C'!$B:$B,"平均")</f>
        <v>17.2</v>
      </c>
      <c r="L22" s="85">
        <f>SUMIFS('0619 4度C'!$I:$I,'0619 4度C'!$A:$A,"新豐9線",'0619 4度C'!$B:$B,"平均")</f>
        <v>18</v>
      </c>
      <c r="M22" s="86">
        <f>SUMIFS('0619 4度C'!$I:$I,'0619 4度C'!$A:$A,"新豐4線",'0619 4度C'!$B:$B,"平均")</f>
        <v>15.6</v>
      </c>
    </row>
    <row r="23" spans="2:13" ht="17.25" customHeight="1">
      <c r="B23" s="553" t="s">
        <v>1707</v>
      </c>
      <c r="C23" s="554"/>
      <c r="D23" s="87" t="s">
        <v>71</v>
      </c>
      <c r="E23" s="88" t="s">
        <v>72</v>
      </c>
      <c r="F23" s="88" t="s">
        <v>1708</v>
      </c>
      <c r="G23" s="88" t="s">
        <v>1708</v>
      </c>
      <c r="H23" s="88" t="s">
        <v>73</v>
      </c>
      <c r="I23" s="88" t="s">
        <v>71</v>
      </c>
      <c r="J23" s="89" t="s">
        <v>73</v>
      </c>
      <c r="K23" s="87" t="s">
        <v>1709</v>
      </c>
      <c r="L23" s="88" t="s">
        <v>1709</v>
      </c>
      <c r="M23" s="89" t="s">
        <v>1709</v>
      </c>
    </row>
    <row r="24" spans="2:13" ht="17.25" customHeight="1">
      <c r="B24" s="553" t="s">
        <v>1710</v>
      </c>
      <c r="C24" s="554"/>
      <c r="D24" s="87"/>
      <c r="E24" s="88"/>
      <c r="F24" s="88" t="s">
        <v>1711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1712</v>
      </c>
      <c r="C25" s="556"/>
      <c r="D25" s="90"/>
      <c r="E25" s="91" t="s">
        <v>1713</v>
      </c>
      <c r="F25" s="549" t="s">
        <v>1714</v>
      </c>
      <c r="G25" s="550"/>
      <c r="H25" s="91" t="s">
        <v>1715</v>
      </c>
      <c r="I25" s="91" t="s">
        <v>1716</v>
      </c>
      <c r="J25" s="92" t="s">
        <v>1715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6"/>
  <sheetViews>
    <sheetView zoomScale="80" zoomScaleNormal="80" workbookViewId="0">
      <pane ySplit="4" topLeftCell="A5" activePane="bottomLeft" state="frozen"/>
      <selection activeCell="A10" sqref="A10"/>
      <selection pane="bottomLeft" activeCell="A9" sqref="A9:A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1717</v>
      </c>
      <c r="B1" s="1"/>
      <c r="C1" s="2" t="s">
        <v>133</v>
      </c>
      <c r="D1" s="3">
        <f>SUM(F5:F65)</f>
        <v>134130</v>
      </c>
      <c r="E1" s="370" t="s">
        <v>1718</v>
      </c>
      <c r="F1" s="1">
        <f>SUM(G5:G65)</f>
        <v>4586132.3</v>
      </c>
      <c r="G1" s="1" t="s">
        <v>1719</v>
      </c>
      <c r="H1" s="4">
        <f>L8+L12+L45+L53+L20+L59+L34+L40+L28+L65</f>
        <v>155.75952380952381</v>
      </c>
      <c r="I1" s="663" t="s">
        <v>1720</v>
      </c>
      <c r="J1" s="663"/>
      <c r="K1" s="663"/>
      <c r="L1" s="663" t="s">
        <v>1721</v>
      </c>
      <c r="M1" s="663"/>
      <c r="N1" s="663"/>
      <c r="O1" s="663" t="s">
        <v>1722</v>
      </c>
      <c r="P1" s="663"/>
      <c r="Q1" s="663"/>
      <c r="R1" s="663"/>
      <c r="S1" s="663" t="s">
        <v>1723</v>
      </c>
      <c r="T1" s="663"/>
      <c r="U1" s="663"/>
      <c r="V1" s="663"/>
      <c r="W1" s="663"/>
      <c r="X1" s="663"/>
      <c r="Y1" s="5" t="s">
        <v>1724</v>
      </c>
      <c r="Z1" s="6" t="s">
        <v>1725</v>
      </c>
      <c r="AA1" s="664" t="s">
        <v>1726</v>
      </c>
      <c r="AB1" s="664"/>
      <c r="AC1" s="188" t="s">
        <v>1724</v>
      </c>
      <c r="AD1" s="6" t="s">
        <v>1727</v>
      </c>
      <c r="AE1" s="663" t="s">
        <v>1728</v>
      </c>
      <c r="AF1" s="665"/>
      <c r="AG1" s="665"/>
    </row>
    <row r="2" spans="1:33" ht="26.25" customHeight="1">
      <c r="A2" s="27">
        <v>46192</v>
      </c>
      <c r="B2" s="28" t="s">
        <v>524</v>
      </c>
      <c r="C2" s="2" t="s">
        <v>1729</v>
      </c>
      <c r="D2" s="8">
        <f>AVERAGE(N8,N12,N45,N53,N20,N59,N28,N34,N40,N65)</f>
        <v>146.94035687959695</v>
      </c>
      <c r="E2" s="9" t="s">
        <v>0</v>
      </c>
      <c r="F2" s="10">
        <f>F1/D1</f>
        <v>34.191696861254009</v>
      </c>
      <c r="G2" s="1" t="s">
        <v>1730</v>
      </c>
      <c r="H2" s="383">
        <f>COUNT(H5:H65)</f>
        <v>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SUM(Y8+Y12+Y20+Y28+Y34+Y40+Y45+Y53+Y59+Y65)</f>
        <v>0</v>
      </c>
      <c r="Z2" s="11">
        <f>SUM(Z8+Z12+Z20+Z28+Z34+Z40+Z45+Z53+Z59+Z65)</f>
        <v>0</v>
      </c>
      <c r="AA2" s="664"/>
      <c r="AB2" s="664"/>
      <c r="AC2" s="11">
        <v>51</v>
      </c>
      <c r="AD2" s="11">
        <f>SUM(AD8+AD12+AD20+AD28+AD34+AD40+AD45+AD53+AD59+AD65)</f>
        <v>0</v>
      </c>
      <c r="AE2" s="665"/>
      <c r="AF2" s="665"/>
      <c r="AG2" s="665"/>
    </row>
    <row r="3" spans="1:33" ht="40.5" customHeight="1">
      <c r="A3" s="617" t="s">
        <v>1731</v>
      </c>
      <c r="B3" s="617" t="s">
        <v>148</v>
      </c>
      <c r="C3" s="617" t="s">
        <v>1732</v>
      </c>
      <c r="D3" s="617"/>
      <c r="E3" s="661" t="s">
        <v>1733</v>
      </c>
      <c r="F3" s="617" t="s">
        <v>1734</v>
      </c>
      <c r="G3" s="661" t="s">
        <v>152</v>
      </c>
      <c r="H3" s="654" t="s">
        <v>1114</v>
      </c>
      <c r="I3" s="652" t="s">
        <v>1735</v>
      </c>
      <c r="J3" s="649" t="s">
        <v>1736</v>
      </c>
      <c r="K3" s="659" t="s">
        <v>1737</v>
      </c>
      <c r="L3" s="652" t="s">
        <v>1738</v>
      </c>
      <c r="M3" s="649" t="s">
        <v>1736</v>
      </c>
      <c r="N3" s="659" t="s">
        <v>1739</v>
      </c>
      <c r="O3" s="652" t="s">
        <v>1735</v>
      </c>
      <c r="P3" s="659" t="s">
        <v>1737</v>
      </c>
      <c r="Q3" s="650" t="s">
        <v>1740</v>
      </c>
      <c r="R3" s="630" t="s">
        <v>1741</v>
      </c>
      <c r="S3" s="660" t="s">
        <v>1</v>
      </c>
      <c r="T3" s="660"/>
      <c r="U3" s="654" t="s">
        <v>2</v>
      </c>
      <c r="V3" s="654" t="s">
        <v>1742</v>
      </c>
      <c r="W3" s="617" t="s">
        <v>1743</v>
      </c>
      <c r="X3" s="617"/>
      <c r="Y3" s="655" t="s">
        <v>1744</v>
      </c>
      <c r="Z3" s="614"/>
      <c r="AA3" s="656" t="s">
        <v>544</v>
      </c>
      <c r="AB3" s="657"/>
      <c r="AC3" s="655" t="s">
        <v>1745</v>
      </c>
      <c r="AD3" s="614"/>
      <c r="AE3" s="649" t="s">
        <v>155</v>
      </c>
      <c r="AF3" s="650" t="s">
        <v>156</v>
      </c>
      <c r="AG3" s="630" t="s">
        <v>1746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382" t="s">
        <v>3</v>
      </c>
      <c r="T4" s="382" t="s">
        <v>4</v>
      </c>
      <c r="U4" s="654"/>
      <c r="V4" s="654"/>
      <c r="W4" s="370" t="s">
        <v>1747</v>
      </c>
      <c r="X4" s="370" t="s">
        <v>167</v>
      </c>
      <c r="Y4" s="373" t="s">
        <v>1748</v>
      </c>
      <c r="Z4" s="373" t="s">
        <v>1749</v>
      </c>
      <c r="AA4" s="658"/>
      <c r="AB4" s="657"/>
      <c r="AC4" s="373" t="s">
        <v>1750</v>
      </c>
      <c r="AD4" s="373" t="s">
        <v>1751</v>
      </c>
      <c r="AE4" s="649"/>
      <c r="AF4" s="650"/>
      <c r="AG4" s="630"/>
    </row>
    <row r="5" spans="1:33">
      <c r="A5" s="651" t="s">
        <v>1752</v>
      </c>
      <c r="B5" s="29" t="s">
        <v>15</v>
      </c>
      <c r="C5" s="653" t="s">
        <v>17</v>
      </c>
      <c r="D5" s="653"/>
      <c r="E5" s="29">
        <v>50.67</v>
      </c>
      <c r="F5" s="382">
        <v>1062</v>
      </c>
      <c r="G5" s="370">
        <f t="shared" ref="G5:G7" si="0">E5*F5</f>
        <v>53811.54</v>
      </c>
      <c r="H5" s="33" t="s">
        <v>57</v>
      </c>
      <c r="I5" s="380">
        <v>15</v>
      </c>
      <c r="J5" s="31">
        <v>2000</v>
      </c>
      <c r="K5" s="12">
        <f t="shared" ref="K5:K65" si="1">J5/I5</f>
        <v>133.33333333333334</v>
      </c>
      <c r="L5" s="380">
        <v>15</v>
      </c>
      <c r="M5" s="13">
        <f t="shared" ref="M5:M7" si="2">F5/V5*60</f>
        <v>1930.9090909090883</v>
      </c>
      <c r="N5" s="12">
        <f t="shared" ref="N5:N65" si="3">M5/L5</f>
        <v>128.72727272727255</v>
      </c>
      <c r="O5" s="14">
        <f t="shared" ref="O5:O65" si="4">L5-I5</f>
        <v>0</v>
      </c>
      <c r="P5" s="15">
        <f t="shared" ref="P5:P65" si="5">N5-K5</f>
        <v>-4.6060606060607938</v>
      </c>
      <c r="Q5" s="369">
        <f t="shared" ref="Q5:Q65" si="6">N5/K5</f>
        <v>0.96545454545454401</v>
      </c>
      <c r="R5" s="615">
        <f>Q8</f>
        <v>0.95999939874939866</v>
      </c>
      <c r="S5" s="34">
        <v>0.70833333333333337</v>
      </c>
      <c r="T5" s="34">
        <v>0.73125000000000007</v>
      </c>
      <c r="U5" s="370"/>
      <c r="V5" s="381">
        <f t="shared" ref="V5:V7" si="7">(T5-S5)*24*60</f>
        <v>33.000000000000043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2" si="8">M5-J5</f>
        <v>-69.090909090911737</v>
      </c>
      <c r="AF5" s="369">
        <f t="shared" ref="AF5:AF65" si="9">M5/J5</f>
        <v>0.96545454545454412</v>
      </c>
      <c r="AG5" s="615">
        <f>AF8</f>
        <v>0.95999939874939866</v>
      </c>
    </row>
    <row r="6" spans="1:33">
      <c r="A6" s="652" t="s">
        <v>1753</v>
      </c>
      <c r="B6" s="29" t="s">
        <v>15</v>
      </c>
      <c r="C6" s="653" t="s">
        <v>26</v>
      </c>
      <c r="D6" s="653"/>
      <c r="E6" s="29">
        <v>50.92</v>
      </c>
      <c r="F6" s="382">
        <v>1723</v>
      </c>
      <c r="G6" s="370">
        <f t="shared" si="0"/>
        <v>87735.16</v>
      </c>
      <c r="H6" s="33" t="s">
        <v>57</v>
      </c>
      <c r="I6" s="380">
        <v>15</v>
      </c>
      <c r="J6" s="31">
        <v>2000</v>
      </c>
      <c r="K6" s="12">
        <f t="shared" si="1"/>
        <v>133.33333333333334</v>
      </c>
      <c r="L6" s="380">
        <v>15</v>
      </c>
      <c r="M6" s="13">
        <f t="shared" si="2"/>
        <v>1914.4444444444453</v>
      </c>
      <c r="N6" s="12">
        <f t="shared" si="3"/>
        <v>127.62962962962969</v>
      </c>
      <c r="O6" s="14">
        <f t="shared" si="4"/>
        <v>0</v>
      </c>
      <c r="P6" s="15">
        <f t="shared" si="5"/>
        <v>-5.7037037037036526</v>
      </c>
      <c r="Q6" s="369">
        <f t="shared" si="6"/>
        <v>0.95722222222222264</v>
      </c>
      <c r="R6" s="615"/>
      <c r="S6" s="34">
        <v>0.73541666666666672</v>
      </c>
      <c r="T6" s="34">
        <v>0.7729166666666667</v>
      </c>
      <c r="U6" s="370">
        <f t="shared" ref="U6:U7" si="10">IF(S6=TIME(17,0,0),"",(S6-T5)*24*60)</f>
        <v>5.9999999999999787</v>
      </c>
      <c r="V6" s="381">
        <f t="shared" si="7"/>
        <v>53.999999999999972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-85.555555555554747</v>
      </c>
      <c r="AF6" s="369">
        <f t="shared" si="9"/>
        <v>0.95722222222222264</v>
      </c>
      <c r="AG6" s="615"/>
    </row>
    <row r="7" spans="1:33">
      <c r="A7" s="652" t="s">
        <v>1754</v>
      </c>
      <c r="B7" s="29" t="s">
        <v>15</v>
      </c>
      <c r="C7" s="644" t="s">
        <v>31</v>
      </c>
      <c r="D7" s="645"/>
      <c r="E7" s="29">
        <v>50.98</v>
      </c>
      <c r="F7" s="382">
        <v>1787</v>
      </c>
      <c r="G7" s="370">
        <f t="shared" si="0"/>
        <v>91101.26</v>
      </c>
      <c r="H7" s="33" t="s">
        <v>57</v>
      </c>
      <c r="I7" s="380">
        <v>16</v>
      </c>
      <c r="J7" s="31">
        <v>2000</v>
      </c>
      <c r="K7" s="12">
        <f t="shared" si="1"/>
        <v>125</v>
      </c>
      <c r="L7" s="380">
        <v>16</v>
      </c>
      <c r="M7" s="13">
        <f t="shared" si="2"/>
        <v>1914.6428571428585</v>
      </c>
      <c r="N7" s="12">
        <f t="shared" si="3"/>
        <v>119.66517857142865</v>
      </c>
      <c r="O7" s="14">
        <f t="shared" si="4"/>
        <v>0</v>
      </c>
      <c r="P7" s="15">
        <f t="shared" si="5"/>
        <v>-5.3348214285713453</v>
      </c>
      <c r="Q7" s="369">
        <f t="shared" si="6"/>
        <v>0.95732142857142921</v>
      </c>
      <c r="R7" s="615"/>
      <c r="S7" s="34">
        <v>0.77777777777777779</v>
      </c>
      <c r="T7" s="34">
        <v>0.81666666666666665</v>
      </c>
      <c r="U7" s="370">
        <f t="shared" si="10"/>
        <v>6.9999999999999751</v>
      </c>
      <c r="V7" s="381">
        <f t="shared" si="7"/>
        <v>55.999999999999957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-85.357142857141525</v>
      </c>
      <c r="AF7" s="369">
        <f t="shared" si="9"/>
        <v>0.95732142857142921</v>
      </c>
      <c r="AG7" s="615"/>
    </row>
    <row r="8" spans="1:33">
      <c r="A8" s="652" t="s">
        <v>1753</v>
      </c>
      <c r="B8" s="29" t="s">
        <v>1755</v>
      </c>
      <c r="C8" s="618"/>
      <c r="D8" s="618"/>
      <c r="E8" s="372"/>
      <c r="F8" s="30"/>
      <c r="G8" s="12"/>
      <c r="H8" s="382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1919.9987974987973</v>
      </c>
      <c r="N8" s="12">
        <f t="shared" si="3"/>
        <v>125.21731288035635</v>
      </c>
      <c r="O8" s="14">
        <f t="shared" si="4"/>
        <v>0</v>
      </c>
      <c r="P8" s="15">
        <f t="shared" si="5"/>
        <v>-5.2174697283393101</v>
      </c>
      <c r="Q8" s="369">
        <f t="shared" si="6"/>
        <v>0.95999939874939866</v>
      </c>
      <c r="R8" s="615"/>
      <c r="S8" s="34"/>
      <c r="T8" s="34"/>
      <c r="U8" s="370"/>
      <c r="V8" s="381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-80.00120250120267</v>
      </c>
      <c r="AF8" s="369">
        <f t="shared" si="9"/>
        <v>0.95999939874939866</v>
      </c>
      <c r="AG8" s="615"/>
    </row>
    <row r="9" spans="1:33" ht="15.75" customHeight="1">
      <c r="A9" s="648" t="s">
        <v>1756</v>
      </c>
      <c r="B9" s="29" t="s">
        <v>19</v>
      </c>
      <c r="C9" s="644" t="s">
        <v>20</v>
      </c>
      <c r="D9" s="645"/>
      <c r="E9" s="29">
        <v>39.619999999999997</v>
      </c>
      <c r="F9" s="382">
        <v>3115</v>
      </c>
      <c r="G9" s="370">
        <f t="shared" ref="G9:G11" si="11">E9*F9</f>
        <v>123416.29999999999</v>
      </c>
      <c r="H9" s="33" t="s">
        <v>57</v>
      </c>
      <c r="I9" s="380">
        <v>19</v>
      </c>
      <c r="J9" s="31">
        <v>1500</v>
      </c>
      <c r="K9" s="12">
        <f t="shared" si="1"/>
        <v>78.94736842105263</v>
      </c>
      <c r="L9" s="380">
        <v>19</v>
      </c>
      <c r="M9" s="13">
        <f t="shared" ref="M9:M11" si="12">F9/V9*60</f>
        <v>1426.7175572519086</v>
      </c>
      <c r="N9" s="12">
        <f t="shared" si="3"/>
        <v>75.09039775010045</v>
      </c>
      <c r="O9" s="14">
        <f t="shared" si="4"/>
        <v>0</v>
      </c>
      <c r="P9" s="15">
        <f t="shared" si="5"/>
        <v>-3.8569706709521796</v>
      </c>
      <c r="Q9" s="369">
        <f t="shared" si="6"/>
        <v>0.95114503816793905</v>
      </c>
      <c r="R9" s="615">
        <f>Q12</f>
        <v>0.95496080396843774</v>
      </c>
      <c r="S9" s="34">
        <v>8.3333333333333329E-2</v>
      </c>
      <c r="T9" s="34">
        <v>0.17430555555555555</v>
      </c>
      <c r="U9" s="370"/>
      <c r="V9" s="381">
        <f t="shared" ref="V9:V11" si="13">(T9-S9)*24*60</f>
        <v>131</v>
      </c>
      <c r="W9" s="16">
        <f>T9</f>
        <v>0.17430555555555555</v>
      </c>
      <c r="X9" s="16">
        <f>S10</f>
        <v>0.19374999999999998</v>
      </c>
      <c r="Y9" s="16"/>
      <c r="Z9" s="16"/>
      <c r="AA9" s="617"/>
      <c r="AB9" s="617"/>
      <c r="AC9" s="35">
        <v>3</v>
      </c>
      <c r="AD9" s="18"/>
      <c r="AE9" s="14">
        <f t="shared" si="8"/>
        <v>-73.282442748091398</v>
      </c>
      <c r="AF9" s="369">
        <f t="shared" si="9"/>
        <v>0.95114503816793905</v>
      </c>
      <c r="AG9" s="615">
        <f>AF12</f>
        <v>0.95496080396843774</v>
      </c>
    </row>
    <row r="10" spans="1:33" ht="15.75" customHeight="1">
      <c r="A10" s="648" t="s">
        <v>1757</v>
      </c>
      <c r="B10" s="29" t="s">
        <v>19</v>
      </c>
      <c r="C10" s="644" t="s">
        <v>83</v>
      </c>
      <c r="D10" s="645"/>
      <c r="E10" s="29">
        <v>39.46</v>
      </c>
      <c r="F10" s="382">
        <v>3162</v>
      </c>
      <c r="G10" s="370">
        <f t="shared" si="11"/>
        <v>124772.52</v>
      </c>
      <c r="H10" s="33" t="s">
        <v>57</v>
      </c>
      <c r="I10" s="380">
        <v>16</v>
      </c>
      <c r="J10" s="31">
        <v>1500</v>
      </c>
      <c r="K10" s="12">
        <f t="shared" si="1"/>
        <v>93.75</v>
      </c>
      <c r="L10" s="380">
        <v>16</v>
      </c>
      <c r="M10" s="13">
        <f t="shared" si="12"/>
        <v>1437.2727272727273</v>
      </c>
      <c r="N10" s="12">
        <f t="shared" si="3"/>
        <v>89.829545454545453</v>
      </c>
      <c r="O10" s="14">
        <f t="shared" si="4"/>
        <v>0</v>
      </c>
      <c r="P10" s="15">
        <f t="shared" si="5"/>
        <v>-3.9204545454545467</v>
      </c>
      <c r="Q10" s="369">
        <f t="shared" si="6"/>
        <v>0.95818181818181813</v>
      </c>
      <c r="R10" s="615"/>
      <c r="S10" s="34">
        <v>0.19374999999999998</v>
      </c>
      <c r="T10" s="34">
        <v>0.28541666666666665</v>
      </c>
      <c r="U10" s="370">
        <f t="shared" ref="U10:U11" si="14">IF(S10=TIME(17,0,0),"",(S10-T9)*24*60)</f>
        <v>27.999999999999979</v>
      </c>
      <c r="V10" s="381">
        <f t="shared" si="13"/>
        <v>132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-62.727272727272748</v>
      </c>
      <c r="AF10" s="369">
        <f t="shared" si="9"/>
        <v>0.95818181818181813</v>
      </c>
      <c r="AG10" s="615"/>
    </row>
    <row r="11" spans="1:33" ht="15.75" customHeight="1">
      <c r="A11" s="648" t="s">
        <v>448</v>
      </c>
      <c r="B11" s="29" t="s">
        <v>19</v>
      </c>
      <c r="C11" s="644" t="s">
        <v>21</v>
      </c>
      <c r="D11" s="645"/>
      <c r="E11" s="29">
        <v>39.799999999999997</v>
      </c>
      <c r="F11" s="382">
        <v>4515</v>
      </c>
      <c r="G11" s="370">
        <f t="shared" si="11"/>
        <v>179697</v>
      </c>
      <c r="H11" s="33" t="s">
        <v>57</v>
      </c>
      <c r="I11" s="380">
        <v>17</v>
      </c>
      <c r="J11" s="31">
        <v>1500</v>
      </c>
      <c r="K11" s="12">
        <f t="shared" si="1"/>
        <v>88.235294117647058</v>
      </c>
      <c r="L11" s="380">
        <v>17</v>
      </c>
      <c r="M11" s="13">
        <f t="shared" si="12"/>
        <v>1433.3333333333335</v>
      </c>
      <c r="N11" s="12">
        <f t="shared" si="3"/>
        <v>84.313725490196092</v>
      </c>
      <c r="O11" s="14">
        <f t="shared" si="4"/>
        <v>0</v>
      </c>
      <c r="P11" s="15">
        <f t="shared" si="5"/>
        <v>-3.9215686274509665</v>
      </c>
      <c r="Q11" s="369">
        <f t="shared" si="6"/>
        <v>0.95555555555555571</v>
      </c>
      <c r="R11" s="615"/>
      <c r="S11" s="34">
        <v>0.28888888888888886</v>
      </c>
      <c r="T11" s="34">
        <v>0.42013888888888884</v>
      </c>
      <c r="U11" s="370">
        <f t="shared" si="14"/>
        <v>4.9999999999999822</v>
      </c>
      <c r="V11" s="381">
        <f t="shared" si="13"/>
        <v>188.99999999999997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-66.666666666666515</v>
      </c>
      <c r="AF11" s="369">
        <f t="shared" si="9"/>
        <v>0.9555555555555556</v>
      </c>
      <c r="AG11" s="615"/>
    </row>
    <row r="12" spans="1:33" ht="16.5" customHeight="1">
      <c r="A12" s="648" t="s">
        <v>448</v>
      </c>
      <c r="B12" s="29" t="s">
        <v>6</v>
      </c>
      <c r="C12" s="618"/>
      <c r="D12" s="618"/>
      <c r="E12" s="372"/>
      <c r="F12" s="31"/>
      <c r="G12" s="13"/>
      <c r="H12" s="382"/>
      <c r="I12" s="23">
        <v>17.333333333333332</v>
      </c>
      <c r="J12" s="31">
        <v>1500</v>
      </c>
      <c r="K12" s="12">
        <f t="shared" si="1"/>
        <v>86.538461538461547</v>
      </c>
      <c r="L12" s="23">
        <v>17.333333333333332</v>
      </c>
      <c r="M12" s="13">
        <f>AVERAGE(M9:M11)</f>
        <v>1432.4412059526567</v>
      </c>
      <c r="N12" s="12">
        <f t="shared" si="3"/>
        <v>82.640838804960964</v>
      </c>
      <c r="O12" s="14">
        <f t="shared" si="4"/>
        <v>0</v>
      </c>
      <c r="P12" s="15">
        <f t="shared" si="5"/>
        <v>-3.8976227335005831</v>
      </c>
      <c r="Q12" s="369">
        <f t="shared" si="6"/>
        <v>0.95496080396843774</v>
      </c>
      <c r="R12" s="615"/>
      <c r="S12" s="34"/>
      <c r="T12" s="34"/>
      <c r="U12" s="12"/>
      <c r="V12" s="381"/>
      <c r="W12" s="12"/>
      <c r="X12" s="12"/>
      <c r="Y12" s="24">
        <f>SUM(Y9:Y11)</f>
        <v>0</v>
      </c>
      <c r="Z12" s="24">
        <f>SUM(Z9:Z11)</f>
        <v>0</v>
      </c>
      <c r="AA12" s="614"/>
      <c r="AB12" s="614"/>
      <c r="AC12" s="24">
        <v>3</v>
      </c>
      <c r="AD12" s="24">
        <f>SUM(AD9:AD11)</f>
        <v>0</v>
      </c>
      <c r="AE12" s="14">
        <f t="shared" si="8"/>
        <v>-67.558794047343326</v>
      </c>
      <c r="AF12" s="369">
        <f t="shared" si="9"/>
        <v>0.95496080396843774</v>
      </c>
      <c r="AG12" s="615"/>
    </row>
    <row r="13" spans="1:33" ht="16.5" customHeight="1">
      <c r="A13" s="646" t="s">
        <v>1758</v>
      </c>
      <c r="B13" s="382" t="s">
        <v>22</v>
      </c>
      <c r="C13" s="640" t="s">
        <v>23</v>
      </c>
      <c r="D13" s="640"/>
      <c r="E13" s="29">
        <v>41</v>
      </c>
      <c r="F13" s="382">
        <v>1657</v>
      </c>
      <c r="G13" s="370">
        <f t="shared" ref="G13:G19" si="15">E13*F13</f>
        <v>67937</v>
      </c>
      <c r="H13" s="33" t="s">
        <v>57</v>
      </c>
      <c r="I13" s="380">
        <v>26</v>
      </c>
      <c r="J13" s="31">
        <v>1500</v>
      </c>
      <c r="K13" s="12">
        <f t="shared" si="1"/>
        <v>57.692307692307693</v>
      </c>
      <c r="L13" s="380">
        <v>26</v>
      </c>
      <c r="M13" s="13">
        <f t="shared" ref="M13:M19" si="16">F13/V13*60</f>
        <v>1440.8695652173919</v>
      </c>
      <c r="N13" s="12">
        <f t="shared" si="3"/>
        <v>55.418060200668918</v>
      </c>
      <c r="O13" s="14">
        <f t="shared" si="4"/>
        <v>0</v>
      </c>
      <c r="P13" s="15">
        <f t="shared" si="5"/>
        <v>-2.2742474916387749</v>
      </c>
      <c r="Q13" s="369">
        <f t="shared" si="6"/>
        <v>0.96057971014492793</v>
      </c>
      <c r="R13" s="615">
        <f>Q20</f>
        <v>0.95599967661202023</v>
      </c>
      <c r="S13" s="34">
        <v>8.3333333333333329E-2</v>
      </c>
      <c r="T13" s="34">
        <v>0.13124999999999998</v>
      </c>
      <c r="U13" s="370"/>
      <c r="V13" s="381">
        <f t="shared" ref="V13:V19" si="17">(T13-S13)*24*60</f>
        <v>68.999999999999972</v>
      </c>
      <c r="W13" s="16">
        <f>T13</f>
        <v>0.13124999999999998</v>
      </c>
      <c r="X13" s="16">
        <f>S14</f>
        <v>0.14861111111111105</v>
      </c>
      <c r="Y13" s="21"/>
      <c r="Z13" s="21"/>
      <c r="AA13" s="617"/>
      <c r="AB13" s="617"/>
      <c r="AC13" s="35">
        <v>7</v>
      </c>
      <c r="AD13" s="18"/>
      <c r="AE13" s="14">
        <f t="shared" si="8"/>
        <v>-59.130434782608063</v>
      </c>
      <c r="AF13" s="369">
        <f t="shared" si="9"/>
        <v>0.96057971014492793</v>
      </c>
      <c r="AG13" s="615">
        <f>AF20</f>
        <v>0.95599967661202034</v>
      </c>
    </row>
    <row r="14" spans="1:33" ht="16.5" customHeight="1">
      <c r="A14" s="647" t="s">
        <v>1759</v>
      </c>
      <c r="B14" s="382" t="s">
        <v>22</v>
      </c>
      <c r="C14" s="640" t="s">
        <v>87</v>
      </c>
      <c r="D14" s="640"/>
      <c r="E14" s="29">
        <v>38.619999999999997</v>
      </c>
      <c r="F14" s="382">
        <v>2107</v>
      </c>
      <c r="G14" s="370">
        <f t="shared" si="15"/>
        <v>81372.34</v>
      </c>
      <c r="H14" s="33" t="s">
        <v>57</v>
      </c>
      <c r="I14" s="380">
        <v>24</v>
      </c>
      <c r="J14" s="31">
        <v>1500</v>
      </c>
      <c r="K14" s="12">
        <f t="shared" si="1"/>
        <v>62.5</v>
      </c>
      <c r="L14" s="380">
        <v>24</v>
      </c>
      <c r="M14" s="13">
        <f t="shared" si="16"/>
        <v>1436.590909090909</v>
      </c>
      <c r="N14" s="12">
        <f t="shared" si="3"/>
        <v>59.85795454545454</v>
      </c>
      <c r="O14" s="14">
        <f t="shared" si="4"/>
        <v>0</v>
      </c>
      <c r="P14" s="15">
        <f t="shared" si="5"/>
        <v>-2.6420454545454604</v>
      </c>
      <c r="Q14" s="369">
        <f t="shared" si="6"/>
        <v>0.95772727272727265</v>
      </c>
      <c r="R14" s="615"/>
      <c r="S14" s="34">
        <v>0.14861111111111105</v>
      </c>
      <c r="T14" s="34">
        <v>0.20972222222222217</v>
      </c>
      <c r="U14" s="370">
        <f t="shared" ref="U14:U19" si="18">IF(S14=TIME(17,0,0),"",(S14-T13)*24*60)</f>
        <v>24.99999999999995</v>
      </c>
      <c r="V14" s="381">
        <f t="shared" si="17"/>
        <v>88</v>
      </c>
      <c r="W14" s="16"/>
      <c r="X14" s="16"/>
      <c r="Y14" s="16"/>
      <c r="Z14" s="16"/>
      <c r="AA14" s="617"/>
      <c r="AB14" s="617"/>
      <c r="AC14" s="35"/>
      <c r="AD14" s="18"/>
      <c r="AE14" s="14">
        <f t="shared" si="8"/>
        <v>-63.409090909090992</v>
      </c>
      <c r="AF14" s="369">
        <f t="shared" si="9"/>
        <v>0.95772727272727265</v>
      </c>
      <c r="AG14" s="615"/>
    </row>
    <row r="15" spans="1:33" ht="16.5" customHeight="1">
      <c r="A15" s="647" t="s">
        <v>8</v>
      </c>
      <c r="B15" s="382" t="s">
        <v>15</v>
      </c>
      <c r="C15" s="640" t="s">
        <v>86</v>
      </c>
      <c r="D15" s="640"/>
      <c r="E15" s="29">
        <v>37.03</v>
      </c>
      <c r="F15" s="382">
        <v>2914</v>
      </c>
      <c r="G15" s="370">
        <f t="shared" si="15"/>
        <v>107905.42</v>
      </c>
      <c r="H15" s="33" t="s">
        <v>57</v>
      </c>
      <c r="I15" s="380">
        <v>13</v>
      </c>
      <c r="J15" s="31">
        <v>1500</v>
      </c>
      <c r="K15" s="12">
        <f t="shared" si="1"/>
        <v>115.38461538461539</v>
      </c>
      <c r="L15" s="380">
        <v>13</v>
      </c>
      <c r="M15" s="13">
        <f t="shared" si="16"/>
        <v>1433.1147540983611</v>
      </c>
      <c r="N15" s="12">
        <f t="shared" si="3"/>
        <v>110.2395964691047</v>
      </c>
      <c r="O15" s="14">
        <f t="shared" si="4"/>
        <v>0</v>
      </c>
      <c r="P15" s="15">
        <f t="shared" si="5"/>
        <v>-5.1450189155106898</v>
      </c>
      <c r="Q15" s="369">
        <f t="shared" si="6"/>
        <v>0.95540983606557406</v>
      </c>
      <c r="R15" s="615"/>
      <c r="S15" s="34">
        <v>0.21388888888888885</v>
      </c>
      <c r="T15" s="34">
        <v>0.29861111111111105</v>
      </c>
      <c r="U15" s="370">
        <f t="shared" si="18"/>
        <v>6.0000000000000187</v>
      </c>
      <c r="V15" s="381">
        <f t="shared" si="17"/>
        <v>121.99999999999997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-66.885245901638882</v>
      </c>
      <c r="AF15" s="369">
        <f t="shared" si="9"/>
        <v>0.95540983606557406</v>
      </c>
      <c r="AG15" s="615"/>
    </row>
    <row r="16" spans="1:33" ht="16.5" customHeight="1">
      <c r="A16" s="647" t="s">
        <v>1760</v>
      </c>
      <c r="B16" s="382" t="s">
        <v>19</v>
      </c>
      <c r="C16" s="640" t="s">
        <v>267</v>
      </c>
      <c r="D16" s="640"/>
      <c r="E16" s="29">
        <v>39.520000000000003</v>
      </c>
      <c r="F16" s="382">
        <v>2271</v>
      </c>
      <c r="G16" s="370">
        <f t="shared" si="15"/>
        <v>89749.920000000013</v>
      </c>
      <c r="H16" s="33" t="s">
        <v>57</v>
      </c>
      <c r="I16" s="380">
        <v>19</v>
      </c>
      <c r="J16" s="31">
        <v>1500</v>
      </c>
      <c r="K16" s="12">
        <f t="shared" si="1"/>
        <v>78.94736842105263</v>
      </c>
      <c r="L16" s="380">
        <v>19</v>
      </c>
      <c r="M16" s="13">
        <f t="shared" si="16"/>
        <v>1434.3157894736844</v>
      </c>
      <c r="N16" s="12">
        <f t="shared" si="3"/>
        <v>75.490304709141284</v>
      </c>
      <c r="O16" s="14">
        <f t="shared" si="4"/>
        <v>0</v>
      </c>
      <c r="P16" s="15">
        <f t="shared" si="5"/>
        <v>-3.4570637119113456</v>
      </c>
      <c r="Q16" s="369">
        <f t="shared" si="6"/>
        <v>0.95621052631578962</v>
      </c>
      <c r="R16" s="615"/>
      <c r="S16" s="34">
        <v>0.30208333333333326</v>
      </c>
      <c r="T16" s="34">
        <v>0.36805555555555547</v>
      </c>
      <c r="U16" s="370">
        <f t="shared" si="18"/>
        <v>4.9999999999999822</v>
      </c>
      <c r="V16" s="381">
        <f t="shared" si="17"/>
        <v>94.999999999999986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-65.68421052631561</v>
      </c>
      <c r="AF16" s="369">
        <f t="shared" si="9"/>
        <v>0.95621052631578962</v>
      </c>
      <c r="AG16" s="615"/>
    </row>
    <row r="17" spans="1:33" ht="16.5" customHeight="1">
      <c r="A17" s="647" t="s">
        <v>8</v>
      </c>
      <c r="B17" s="382" t="s">
        <v>15</v>
      </c>
      <c r="C17" s="640" t="s">
        <v>25</v>
      </c>
      <c r="D17" s="640"/>
      <c r="E17" s="29">
        <v>53.68</v>
      </c>
      <c r="F17" s="382">
        <v>907</v>
      </c>
      <c r="G17" s="370">
        <f t="shared" si="15"/>
        <v>48687.76</v>
      </c>
      <c r="H17" s="33" t="s">
        <v>57</v>
      </c>
      <c r="I17" s="380">
        <v>16</v>
      </c>
      <c r="J17" s="31">
        <v>1500</v>
      </c>
      <c r="K17" s="12">
        <f t="shared" si="1"/>
        <v>93.75</v>
      </c>
      <c r="L17" s="380">
        <v>16</v>
      </c>
      <c r="M17" s="13">
        <f t="shared" si="16"/>
        <v>1432.1052631578937</v>
      </c>
      <c r="N17" s="12">
        <f t="shared" si="3"/>
        <v>89.506578947368354</v>
      </c>
      <c r="O17" s="14">
        <f t="shared" si="4"/>
        <v>0</v>
      </c>
      <c r="P17" s="15">
        <f t="shared" si="5"/>
        <v>-4.2434210526316463</v>
      </c>
      <c r="Q17" s="369">
        <f t="shared" si="6"/>
        <v>0.95473684210526244</v>
      </c>
      <c r="R17" s="615"/>
      <c r="S17" s="34">
        <v>0.70833333333333337</v>
      </c>
      <c r="T17" s="34">
        <v>0.73472222222222228</v>
      </c>
      <c r="U17" s="370" t="str">
        <f t="shared" si="18"/>
        <v/>
      </c>
      <c r="V17" s="381">
        <f t="shared" si="17"/>
        <v>38.000000000000028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-67.89473684210634</v>
      </c>
      <c r="AF17" s="369">
        <f t="shared" si="9"/>
        <v>0.95473684210526244</v>
      </c>
      <c r="AG17" s="615"/>
    </row>
    <row r="18" spans="1:33" ht="16.5" customHeight="1">
      <c r="A18" s="647" t="s">
        <v>1759</v>
      </c>
      <c r="B18" s="382" t="s">
        <v>15</v>
      </c>
      <c r="C18" s="378" t="s">
        <v>18</v>
      </c>
      <c r="D18" s="379"/>
      <c r="E18" s="29">
        <v>52.86</v>
      </c>
      <c r="F18" s="382">
        <v>956</v>
      </c>
      <c r="G18" s="370">
        <f t="shared" si="15"/>
        <v>50534.159999999996</v>
      </c>
      <c r="H18" s="33" t="s">
        <v>57</v>
      </c>
      <c r="I18" s="380">
        <v>16</v>
      </c>
      <c r="J18" s="31">
        <v>2000</v>
      </c>
      <c r="K18" s="12">
        <f t="shared" si="1"/>
        <v>125</v>
      </c>
      <c r="L18" s="380">
        <v>16</v>
      </c>
      <c r="M18" s="13">
        <f t="shared" si="16"/>
        <v>1911.9999999999966</v>
      </c>
      <c r="N18" s="12">
        <f t="shared" si="3"/>
        <v>119.49999999999979</v>
      </c>
      <c r="O18" s="14">
        <f t="shared" si="4"/>
        <v>0</v>
      </c>
      <c r="P18" s="15">
        <f t="shared" si="5"/>
        <v>-5.5000000000002132</v>
      </c>
      <c r="Q18" s="369">
        <f t="shared" si="6"/>
        <v>0.9559999999999983</v>
      </c>
      <c r="R18" s="615"/>
      <c r="S18" s="34">
        <v>0.73819444444444449</v>
      </c>
      <c r="T18" s="34">
        <v>0.75902777777777786</v>
      </c>
      <c r="U18" s="370">
        <f t="shared" si="18"/>
        <v>4.9999999999999822</v>
      </c>
      <c r="V18" s="381">
        <f t="shared" si="17"/>
        <v>30.000000000000053</v>
      </c>
      <c r="W18" s="16"/>
      <c r="X18" s="16"/>
      <c r="Y18" s="19"/>
      <c r="Z18" s="19"/>
      <c r="AA18" s="376"/>
      <c r="AB18" s="377"/>
      <c r="AC18" s="35"/>
      <c r="AD18" s="18"/>
      <c r="AE18" s="14">
        <f t="shared" si="8"/>
        <v>-88.000000000003411</v>
      </c>
      <c r="AF18" s="369">
        <f t="shared" si="9"/>
        <v>0.9559999999999983</v>
      </c>
      <c r="AG18" s="615"/>
    </row>
    <row r="19" spans="1:33" ht="16.5" customHeight="1">
      <c r="A19" s="647" t="s">
        <v>1759</v>
      </c>
      <c r="B19" s="382" t="s">
        <v>15</v>
      </c>
      <c r="C19" s="378" t="s">
        <v>16</v>
      </c>
      <c r="D19" s="379"/>
      <c r="E19" s="29">
        <v>50.67</v>
      </c>
      <c r="F19" s="382">
        <v>1143</v>
      </c>
      <c r="G19" s="370">
        <f t="shared" si="15"/>
        <v>57915.810000000005</v>
      </c>
      <c r="H19" s="33" t="s">
        <v>57</v>
      </c>
      <c r="I19" s="380">
        <v>17</v>
      </c>
      <c r="J19" s="31">
        <v>2000</v>
      </c>
      <c r="K19" s="12">
        <f t="shared" si="1"/>
        <v>117.64705882352941</v>
      </c>
      <c r="L19" s="380">
        <v>17</v>
      </c>
      <c r="M19" s="13">
        <f t="shared" si="16"/>
        <v>1904.9999999999984</v>
      </c>
      <c r="N19" s="12">
        <f t="shared" si="3"/>
        <v>112.05882352941167</v>
      </c>
      <c r="O19" s="14">
        <f t="shared" si="4"/>
        <v>0</v>
      </c>
      <c r="P19" s="15">
        <f t="shared" si="5"/>
        <v>-5.5882352941177373</v>
      </c>
      <c r="Q19" s="369">
        <f t="shared" si="6"/>
        <v>0.95249999999999924</v>
      </c>
      <c r="R19" s="615"/>
      <c r="S19" s="34">
        <v>0.76250000000000007</v>
      </c>
      <c r="T19" s="34">
        <v>0.78750000000000009</v>
      </c>
      <c r="U19" s="370">
        <f t="shared" si="18"/>
        <v>4.9999999999999822</v>
      </c>
      <c r="V19" s="381">
        <f t="shared" si="17"/>
        <v>36.000000000000028</v>
      </c>
      <c r="W19" s="16"/>
      <c r="X19" s="16"/>
      <c r="Y19" s="19"/>
      <c r="Z19" s="19"/>
      <c r="AA19" s="376"/>
      <c r="AB19" s="377"/>
      <c r="AC19" s="35"/>
      <c r="AD19" s="18"/>
      <c r="AE19" s="14">
        <f t="shared" si="8"/>
        <v>-95.000000000001592</v>
      </c>
      <c r="AF19" s="369">
        <f t="shared" si="9"/>
        <v>0.95249999999999924</v>
      </c>
      <c r="AG19" s="615"/>
    </row>
    <row r="20" spans="1:33" ht="16.5" customHeight="1">
      <c r="A20" s="647" t="s">
        <v>8</v>
      </c>
      <c r="B20" s="29" t="s">
        <v>1755</v>
      </c>
      <c r="C20" s="618"/>
      <c r="D20" s="618"/>
      <c r="E20" s="372"/>
      <c r="F20" s="30"/>
      <c r="G20" s="12"/>
      <c r="H20" s="382"/>
      <c r="I20" s="23">
        <v>18.714285714285715</v>
      </c>
      <c r="J20" s="31">
        <v>1642.8571428571429</v>
      </c>
      <c r="K20" s="12">
        <f t="shared" si="1"/>
        <v>87.786259541984734</v>
      </c>
      <c r="L20" s="23">
        <v>18.714285714285715</v>
      </c>
      <c r="M20" s="13">
        <f>AVERAGE(M13:M19)</f>
        <v>1570.5708972911764</v>
      </c>
      <c r="N20" s="12">
        <f t="shared" si="3"/>
        <v>83.923635733116285</v>
      </c>
      <c r="O20" s="14">
        <f t="shared" si="4"/>
        <v>0</v>
      </c>
      <c r="P20" s="15">
        <f t="shared" si="5"/>
        <v>-3.8626238088684488</v>
      </c>
      <c r="Q20" s="369">
        <f t="shared" si="6"/>
        <v>0.95599967661202023</v>
      </c>
      <c r="R20" s="615"/>
      <c r="S20" s="34"/>
      <c r="T20" s="34"/>
      <c r="U20" s="370"/>
      <c r="V20" s="381"/>
      <c r="W20" s="12"/>
      <c r="X20" s="12"/>
      <c r="Y20" s="24">
        <f>SUM(Y13:Y19)</f>
        <v>0</v>
      </c>
      <c r="Z20" s="24">
        <f>SUM(Z13:Z19)</f>
        <v>0</v>
      </c>
      <c r="AA20" s="614"/>
      <c r="AB20" s="614"/>
      <c r="AC20" s="24">
        <v>7</v>
      </c>
      <c r="AD20" s="24">
        <f>SUM(AD13:AD19)</f>
        <v>0</v>
      </c>
      <c r="AE20" s="14">
        <f t="shared" si="8"/>
        <v>-72.28624556596651</v>
      </c>
      <c r="AF20" s="369">
        <f t="shared" si="9"/>
        <v>0.95599967661202034</v>
      </c>
      <c r="AG20" s="615"/>
    </row>
    <row r="21" spans="1:33" ht="15.75" customHeight="1">
      <c r="A21" s="642" t="s">
        <v>1761</v>
      </c>
      <c r="B21" s="29" t="s">
        <v>15</v>
      </c>
      <c r="C21" s="640" t="s">
        <v>24</v>
      </c>
      <c r="D21" s="640"/>
      <c r="E21" s="29">
        <v>54.09</v>
      </c>
      <c r="F21" s="382">
        <v>998</v>
      </c>
      <c r="G21" s="370">
        <f t="shared" ref="G21:G27" si="19">E21*F21</f>
        <v>53981.820000000007</v>
      </c>
      <c r="H21" s="33" t="s">
        <v>57</v>
      </c>
      <c r="I21" s="380">
        <v>17</v>
      </c>
      <c r="J21" s="31">
        <v>1500</v>
      </c>
      <c r="K21" s="12">
        <f t="shared" si="1"/>
        <v>88.235294117647058</v>
      </c>
      <c r="L21" s="380">
        <v>17</v>
      </c>
      <c r="M21" s="13">
        <f t="shared" ref="M21:M27" si="20">F21/V21*60</f>
        <v>1460.4878048780483</v>
      </c>
      <c r="N21" s="12">
        <f t="shared" si="3"/>
        <v>85.911047345767543</v>
      </c>
      <c r="O21" s="14">
        <f t="shared" si="4"/>
        <v>0</v>
      </c>
      <c r="P21" s="15">
        <f t="shared" si="5"/>
        <v>-2.3242467718795154</v>
      </c>
      <c r="Q21" s="369">
        <f t="shared" si="6"/>
        <v>0.9736585365853655</v>
      </c>
      <c r="R21" s="615">
        <f>Q28</f>
        <v>0.96082562871991029</v>
      </c>
      <c r="S21" s="34">
        <v>0.20833333333333334</v>
      </c>
      <c r="T21" s="34">
        <v>0.23680555555555557</v>
      </c>
      <c r="U21" s="370"/>
      <c r="V21" s="381">
        <f t="shared" ref="V21:V27" si="21">(T21-S21)*24*60</f>
        <v>41.000000000000014</v>
      </c>
      <c r="W21" s="21"/>
      <c r="X21" s="21"/>
      <c r="Y21" s="21"/>
      <c r="Z21" s="21"/>
      <c r="AA21" s="617"/>
      <c r="AB21" s="617"/>
      <c r="AC21" s="35">
        <v>7</v>
      </c>
      <c r="AD21" s="18"/>
      <c r="AE21" s="14">
        <f t="shared" si="8"/>
        <v>-39.512195121951663</v>
      </c>
      <c r="AF21" s="369">
        <f t="shared" si="9"/>
        <v>0.97365853658536561</v>
      </c>
      <c r="AG21" s="615">
        <f>AF28</f>
        <v>0.96082562871991029</v>
      </c>
    </row>
    <row r="22" spans="1:33" ht="15.75" customHeight="1">
      <c r="A22" s="643" t="s">
        <v>1762</v>
      </c>
      <c r="B22" s="29" t="s">
        <v>15</v>
      </c>
      <c r="C22" s="640" t="s">
        <v>28</v>
      </c>
      <c r="D22" s="640"/>
      <c r="E22" s="29">
        <v>50.67</v>
      </c>
      <c r="F22" s="382">
        <v>1048</v>
      </c>
      <c r="G22" s="370">
        <f t="shared" si="19"/>
        <v>53102.16</v>
      </c>
      <c r="H22" s="33" t="s">
        <v>57</v>
      </c>
      <c r="I22" s="380">
        <v>17</v>
      </c>
      <c r="J22" s="31">
        <v>2000</v>
      </c>
      <c r="K22" s="12">
        <f t="shared" si="1"/>
        <v>117.64705882352941</v>
      </c>
      <c r="L22" s="380">
        <v>17</v>
      </c>
      <c r="M22" s="13">
        <f t="shared" si="20"/>
        <v>1905.4545454545455</v>
      </c>
      <c r="N22" s="12">
        <f t="shared" si="3"/>
        <v>112.08556149732621</v>
      </c>
      <c r="O22" s="14">
        <f t="shared" si="4"/>
        <v>0</v>
      </c>
      <c r="P22" s="15">
        <f t="shared" si="5"/>
        <v>-5.5614973262031953</v>
      </c>
      <c r="Q22" s="369">
        <f t="shared" si="6"/>
        <v>0.95272727272727287</v>
      </c>
      <c r="R22" s="615"/>
      <c r="S22" s="34">
        <v>0.24027777777777778</v>
      </c>
      <c r="T22" s="34">
        <v>0.26319444444444445</v>
      </c>
      <c r="U22" s="370">
        <f t="shared" ref="U22:U27" si="22">IF(S22=TIME(17,0,0),"",(S22-T21)*24*60)</f>
        <v>4.9999999999999822</v>
      </c>
      <c r="V22" s="381">
        <f t="shared" si="21"/>
        <v>33</v>
      </c>
      <c r="W22" s="16"/>
      <c r="X22" s="370"/>
      <c r="Y22" s="370"/>
      <c r="Z22" s="370"/>
      <c r="AA22" s="617"/>
      <c r="AB22" s="617"/>
      <c r="AC22" s="35"/>
      <c r="AD22" s="18"/>
      <c r="AE22" s="14">
        <f t="shared" si="8"/>
        <v>-94.545454545454504</v>
      </c>
      <c r="AF22" s="369">
        <f t="shared" si="9"/>
        <v>0.95272727272727276</v>
      </c>
      <c r="AG22" s="615"/>
    </row>
    <row r="23" spans="1:33" ht="15.75" customHeight="1">
      <c r="A23" s="643" t="s">
        <v>1763</v>
      </c>
      <c r="B23" s="29" t="s">
        <v>15</v>
      </c>
      <c r="C23" s="640" t="s">
        <v>29</v>
      </c>
      <c r="D23" s="640"/>
      <c r="E23" s="29">
        <v>57.73</v>
      </c>
      <c r="F23" s="382">
        <v>1377</v>
      </c>
      <c r="G23" s="370">
        <f t="shared" si="19"/>
        <v>79494.209999999992</v>
      </c>
      <c r="H23" s="33" t="s">
        <v>57</v>
      </c>
      <c r="I23" s="380">
        <v>14</v>
      </c>
      <c r="J23" s="31">
        <v>2000</v>
      </c>
      <c r="K23" s="12">
        <f t="shared" si="1"/>
        <v>142.85714285714286</v>
      </c>
      <c r="L23" s="380">
        <v>14</v>
      </c>
      <c r="M23" s="13">
        <f t="shared" si="20"/>
        <v>1921.395348837209</v>
      </c>
      <c r="N23" s="12">
        <f t="shared" si="3"/>
        <v>137.24252491694349</v>
      </c>
      <c r="O23" s="14">
        <f t="shared" si="4"/>
        <v>0</v>
      </c>
      <c r="P23" s="15">
        <f t="shared" si="5"/>
        <v>-5.6146179401993663</v>
      </c>
      <c r="Q23" s="369">
        <f t="shared" si="6"/>
        <v>0.96069767441860443</v>
      </c>
      <c r="R23" s="615"/>
      <c r="S23" s="34">
        <v>0.26805555555555555</v>
      </c>
      <c r="T23" s="34">
        <v>0.29791666666666666</v>
      </c>
      <c r="U23" s="370">
        <f t="shared" si="22"/>
        <v>6.9999999999999751</v>
      </c>
      <c r="V23" s="381">
        <f t="shared" si="21"/>
        <v>43.000000000000007</v>
      </c>
      <c r="W23" s="16"/>
      <c r="X23" s="370"/>
      <c r="Y23" s="370"/>
      <c r="Z23" s="370"/>
      <c r="AA23" s="617"/>
      <c r="AB23" s="617"/>
      <c r="AC23" s="35"/>
      <c r="AD23" s="18"/>
      <c r="AE23" s="14">
        <f t="shared" si="8"/>
        <v>-78.604651162791015</v>
      </c>
      <c r="AF23" s="369">
        <f t="shared" si="9"/>
        <v>0.96069767441860454</v>
      </c>
      <c r="AG23" s="615"/>
    </row>
    <row r="24" spans="1:33" ht="15.75" customHeight="1">
      <c r="A24" s="643" t="s">
        <v>1764</v>
      </c>
      <c r="B24" s="29" t="s">
        <v>15</v>
      </c>
      <c r="C24" s="640" t="s">
        <v>80</v>
      </c>
      <c r="D24" s="640"/>
      <c r="E24" s="29">
        <v>53.27</v>
      </c>
      <c r="F24" s="382">
        <v>1271</v>
      </c>
      <c r="G24" s="370">
        <f t="shared" si="19"/>
        <v>67706.17</v>
      </c>
      <c r="H24" s="33" t="s">
        <v>57</v>
      </c>
      <c r="I24" s="380">
        <v>16</v>
      </c>
      <c r="J24" s="31">
        <v>2000</v>
      </c>
      <c r="K24" s="12">
        <f t="shared" si="1"/>
        <v>125</v>
      </c>
      <c r="L24" s="380">
        <v>16</v>
      </c>
      <c r="M24" s="13">
        <f t="shared" si="20"/>
        <v>1906.4999999999993</v>
      </c>
      <c r="N24" s="12">
        <f t="shared" si="3"/>
        <v>119.15624999999996</v>
      </c>
      <c r="O24" s="14">
        <f t="shared" si="4"/>
        <v>0</v>
      </c>
      <c r="P24" s="15">
        <f t="shared" si="5"/>
        <v>-5.8437500000000426</v>
      </c>
      <c r="Q24" s="369">
        <f t="shared" si="6"/>
        <v>0.95324999999999971</v>
      </c>
      <c r="R24" s="615"/>
      <c r="S24" s="34">
        <v>0.30138888888888887</v>
      </c>
      <c r="T24" s="34">
        <v>0.32916666666666666</v>
      </c>
      <c r="U24" s="370">
        <f t="shared" si="22"/>
        <v>4.9999999999999822</v>
      </c>
      <c r="V24" s="381">
        <f t="shared" si="21"/>
        <v>40.000000000000014</v>
      </c>
      <c r="W24" s="16"/>
      <c r="X24" s="370"/>
      <c r="Y24" s="370"/>
      <c r="Z24" s="370"/>
      <c r="AA24" s="617"/>
      <c r="AB24" s="617"/>
      <c r="AC24" s="35"/>
      <c r="AD24" s="18"/>
      <c r="AE24" s="14">
        <f t="shared" si="8"/>
        <v>-93.500000000000682</v>
      </c>
      <c r="AF24" s="369">
        <f t="shared" si="9"/>
        <v>0.95324999999999971</v>
      </c>
      <c r="AG24" s="615"/>
    </row>
    <row r="25" spans="1:33" ht="15.75" customHeight="1">
      <c r="A25" s="643" t="s">
        <v>1762</v>
      </c>
      <c r="B25" s="29" t="s">
        <v>15</v>
      </c>
      <c r="C25" s="640" t="s">
        <v>1472</v>
      </c>
      <c r="D25" s="640"/>
      <c r="E25" s="29">
        <v>51.44</v>
      </c>
      <c r="F25" s="382">
        <v>1533</v>
      </c>
      <c r="G25" s="370">
        <f t="shared" si="19"/>
        <v>78857.51999999999</v>
      </c>
      <c r="H25" s="33" t="s">
        <v>57</v>
      </c>
      <c r="I25" s="380">
        <v>25</v>
      </c>
      <c r="J25" s="31">
        <v>2000</v>
      </c>
      <c r="K25" s="12">
        <f t="shared" si="1"/>
        <v>80</v>
      </c>
      <c r="L25" s="380">
        <v>25</v>
      </c>
      <c r="M25" s="13">
        <f t="shared" si="20"/>
        <v>1916.2500000000007</v>
      </c>
      <c r="N25" s="12">
        <f t="shared" si="3"/>
        <v>76.650000000000034</v>
      </c>
      <c r="O25" s="14">
        <f t="shared" si="4"/>
        <v>0</v>
      </c>
      <c r="P25" s="15">
        <f t="shared" si="5"/>
        <v>-3.3499999999999659</v>
      </c>
      <c r="Q25" s="369">
        <f t="shared" si="6"/>
        <v>0.95812500000000045</v>
      </c>
      <c r="R25" s="615"/>
      <c r="S25" s="34">
        <v>0.3347222222222222</v>
      </c>
      <c r="T25" s="34">
        <v>0.36805555555555552</v>
      </c>
      <c r="U25" s="370">
        <f t="shared" si="22"/>
        <v>7.9999999999999716</v>
      </c>
      <c r="V25" s="381">
        <f t="shared" si="21"/>
        <v>47.999999999999986</v>
      </c>
      <c r="W25" s="16"/>
      <c r="X25" s="16"/>
      <c r="Y25" s="370"/>
      <c r="Z25" s="370"/>
      <c r="AA25" s="617"/>
      <c r="AB25" s="617"/>
      <c r="AC25" s="35"/>
      <c r="AD25" s="18"/>
      <c r="AE25" s="14">
        <f t="shared" si="8"/>
        <v>-83.749999999999318</v>
      </c>
      <c r="AF25" s="369">
        <f t="shared" si="9"/>
        <v>0.95812500000000034</v>
      </c>
      <c r="AG25" s="615"/>
    </row>
    <row r="26" spans="1:33" ht="15.75" customHeight="1">
      <c r="A26" s="643" t="s">
        <v>1762</v>
      </c>
      <c r="B26" s="29" t="s">
        <v>15</v>
      </c>
      <c r="C26" s="640" t="s">
        <v>30</v>
      </c>
      <c r="D26" s="640"/>
      <c r="E26" s="29">
        <v>50.49</v>
      </c>
      <c r="F26" s="382">
        <v>1325</v>
      </c>
      <c r="G26" s="370">
        <f t="shared" si="19"/>
        <v>66899.25</v>
      </c>
      <c r="H26" s="33" t="s">
        <v>57</v>
      </c>
      <c r="I26" s="380">
        <v>15</v>
      </c>
      <c r="J26" s="31">
        <v>2000</v>
      </c>
      <c r="K26" s="12">
        <f t="shared" si="1"/>
        <v>133.33333333333334</v>
      </c>
      <c r="L26" s="380">
        <v>15</v>
      </c>
      <c r="M26" s="13">
        <f t="shared" si="20"/>
        <v>1939.0243902439017</v>
      </c>
      <c r="N26" s="12">
        <f t="shared" si="3"/>
        <v>129.26829268292678</v>
      </c>
      <c r="O26" s="14">
        <f t="shared" si="4"/>
        <v>0</v>
      </c>
      <c r="P26" s="15">
        <f t="shared" si="5"/>
        <v>-4.0650406504065586</v>
      </c>
      <c r="Q26" s="369">
        <f t="shared" si="6"/>
        <v>0.96951219512195086</v>
      </c>
      <c r="R26" s="615"/>
      <c r="S26" s="34">
        <v>0.70833333333333337</v>
      </c>
      <c r="T26" s="34">
        <v>0.7368055555555556</v>
      </c>
      <c r="U26" s="370" t="str">
        <f t="shared" si="22"/>
        <v/>
      </c>
      <c r="V26" s="381">
        <f t="shared" si="21"/>
        <v>41.000000000000014</v>
      </c>
      <c r="W26" s="16"/>
      <c r="X26" s="21"/>
      <c r="Y26" s="21"/>
      <c r="Z26" s="21"/>
      <c r="AA26" s="617"/>
      <c r="AB26" s="617"/>
      <c r="AC26" s="35"/>
      <c r="AD26" s="18"/>
      <c r="AE26" s="14">
        <f t="shared" si="8"/>
        <v>-60.975609756098265</v>
      </c>
      <c r="AF26" s="369">
        <f t="shared" si="9"/>
        <v>0.96951219512195086</v>
      </c>
      <c r="AG26" s="615"/>
    </row>
    <row r="27" spans="1:33" ht="15.75" customHeight="1">
      <c r="A27" s="643" t="s">
        <v>1763</v>
      </c>
      <c r="B27" s="29" t="s">
        <v>15</v>
      </c>
      <c r="C27" s="666" t="s">
        <v>82</v>
      </c>
      <c r="D27" s="667"/>
      <c r="E27" s="29">
        <v>51.06</v>
      </c>
      <c r="F27" s="382">
        <v>1890</v>
      </c>
      <c r="G27" s="370">
        <f t="shared" si="19"/>
        <v>96503.400000000009</v>
      </c>
      <c r="H27" s="33" t="s">
        <v>57</v>
      </c>
      <c r="I27" s="380">
        <v>13</v>
      </c>
      <c r="J27" s="31">
        <v>2000</v>
      </c>
      <c r="K27" s="12">
        <f t="shared" si="1"/>
        <v>153.84615384615384</v>
      </c>
      <c r="L27" s="380">
        <v>13</v>
      </c>
      <c r="M27" s="13">
        <f t="shared" si="20"/>
        <v>1922.0338983050865</v>
      </c>
      <c r="N27" s="12">
        <f t="shared" si="3"/>
        <v>147.84876140808359</v>
      </c>
      <c r="O27" s="14">
        <f t="shared" si="4"/>
        <v>0</v>
      </c>
      <c r="P27" s="15">
        <f t="shared" si="5"/>
        <v>-5.9973924380702499</v>
      </c>
      <c r="Q27" s="369">
        <f t="shared" si="6"/>
        <v>0.96101694915254332</v>
      </c>
      <c r="R27" s="615"/>
      <c r="S27" s="34">
        <v>0.74236111111111114</v>
      </c>
      <c r="T27" s="34">
        <v>0.78333333333333333</v>
      </c>
      <c r="U27" s="370">
        <f t="shared" si="22"/>
        <v>7.9999999999999716</v>
      </c>
      <c r="V27" s="381">
        <f t="shared" si="21"/>
        <v>58.99999999999995</v>
      </c>
      <c r="W27" s="16"/>
      <c r="X27" s="21"/>
      <c r="Y27" s="22"/>
      <c r="Z27" s="22"/>
      <c r="AA27" s="624"/>
      <c r="AB27" s="625"/>
      <c r="AC27" s="35"/>
      <c r="AD27" s="18"/>
      <c r="AE27" s="14">
        <f t="shared" si="8"/>
        <v>-77.966101694913505</v>
      </c>
      <c r="AF27" s="369">
        <f t="shared" si="9"/>
        <v>0.96101694915254321</v>
      </c>
      <c r="AG27" s="615"/>
    </row>
    <row r="28" spans="1:33" ht="15.75" customHeight="1">
      <c r="A28" s="643" t="s">
        <v>1763</v>
      </c>
      <c r="B28" s="29" t="s">
        <v>1765</v>
      </c>
      <c r="C28" s="618"/>
      <c r="D28" s="618"/>
      <c r="E28" s="372"/>
      <c r="F28" s="382"/>
      <c r="G28" s="370"/>
      <c r="H28" s="382"/>
      <c r="I28" s="23">
        <v>16.714285714285715</v>
      </c>
      <c r="J28" s="31">
        <v>1928.5714285714287</v>
      </c>
      <c r="K28" s="12">
        <f t="shared" si="1"/>
        <v>115.38461538461539</v>
      </c>
      <c r="L28" s="23">
        <v>16.714285714285715</v>
      </c>
      <c r="M28" s="13">
        <f>AVERAGE(M21:M27)</f>
        <v>1853.0208553883986</v>
      </c>
      <c r="N28" s="12">
        <f t="shared" si="3"/>
        <v>110.86449562152811</v>
      </c>
      <c r="O28" s="14">
        <f t="shared" si="4"/>
        <v>0</v>
      </c>
      <c r="P28" s="15">
        <f t="shared" si="5"/>
        <v>-4.5201197630872798</v>
      </c>
      <c r="Q28" s="369">
        <f t="shared" si="6"/>
        <v>0.96082562871991029</v>
      </c>
      <c r="R28" s="615"/>
      <c r="S28" s="34"/>
      <c r="T28" s="34"/>
      <c r="U28" s="12"/>
      <c r="V28" s="381"/>
      <c r="W28" s="12"/>
      <c r="X28" s="12"/>
      <c r="Y28" s="24">
        <f>SUM(Y21:Y27)</f>
        <v>0</v>
      </c>
      <c r="Z28" s="24">
        <f>SUM(Z21:Z27)</f>
        <v>0</v>
      </c>
      <c r="AA28" s="614"/>
      <c r="AB28" s="614"/>
      <c r="AC28" s="24">
        <v>7</v>
      </c>
      <c r="AD28" s="24">
        <f>SUM(AD21:AD27)</f>
        <v>0</v>
      </c>
      <c r="AE28" s="14">
        <f t="shared" si="8"/>
        <v>-75.55057318303011</v>
      </c>
      <c r="AF28" s="369">
        <f t="shared" si="9"/>
        <v>0.96082562871991029</v>
      </c>
      <c r="AG28" s="615"/>
    </row>
    <row r="29" spans="1:33" ht="15.75" customHeight="1">
      <c r="A29" s="641" t="s">
        <v>1766</v>
      </c>
      <c r="B29" s="29" t="s">
        <v>32</v>
      </c>
      <c r="C29" s="640" t="s">
        <v>33</v>
      </c>
      <c r="D29" s="640"/>
      <c r="E29" s="29">
        <v>31.29</v>
      </c>
      <c r="F29" s="382">
        <v>6576</v>
      </c>
      <c r="G29" s="370">
        <f t="shared" ref="G29:G33" si="23">E29*F29</f>
        <v>205763.04</v>
      </c>
      <c r="H29" s="33" t="s">
        <v>57</v>
      </c>
      <c r="I29" s="380">
        <v>18</v>
      </c>
      <c r="J29" s="31">
        <v>2400</v>
      </c>
      <c r="K29" s="12">
        <f t="shared" si="1"/>
        <v>133.33333333333334</v>
      </c>
      <c r="L29" s="380">
        <v>18</v>
      </c>
      <c r="M29" s="13">
        <f t="shared" ref="M29:M33" si="24">F29/V29*60</f>
        <v>2293.953488372093</v>
      </c>
      <c r="N29" s="12">
        <f t="shared" si="3"/>
        <v>127.44186046511628</v>
      </c>
      <c r="O29" s="14">
        <f t="shared" si="4"/>
        <v>0</v>
      </c>
      <c r="P29" s="15">
        <f t="shared" si="5"/>
        <v>-5.8914728682170647</v>
      </c>
      <c r="Q29" s="369">
        <f t="shared" si="6"/>
        <v>0.95581395348837206</v>
      </c>
      <c r="R29" s="615">
        <f>Q34</f>
        <v>0.9566338446314373</v>
      </c>
      <c r="S29" s="34">
        <v>8.3333333333333329E-2</v>
      </c>
      <c r="T29" s="34">
        <v>0.20277777777777778</v>
      </c>
      <c r="U29" s="370"/>
      <c r="V29" s="381">
        <f t="shared" ref="V29:V33" si="25">(T29-S29)*24*60</f>
        <v>172</v>
      </c>
      <c r="W29" s="16">
        <f>T29</f>
        <v>0.20277777777777778</v>
      </c>
      <c r="X29" s="16">
        <f>S30</f>
        <v>0.22152777777777777</v>
      </c>
      <c r="Y29" s="16"/>
      <c r="Z29" s="16"/>
      <c r="AA29" s="617"/>
      <c r="AB29" s="617"/>
      <c r="AC29" s="35">
        <v>5</v>
      </c>
      <c r="AD29" s="18"/>
      <c r="AE29" s="14">
        <f t="shared" si="8"/>
        <v>-106.04651162790697</v>
      </c>
      <c r="AF29" s="369">
        <f t="shared" si="9"/>
        <v>0.95581395348837206</v>
      </c>
      <c r="AG29" s="615">
        <f>AF34</f>
        <v>0.95663384463143719</v>
      </c>
    </row>
    <row r="30" spans="1:33" ht="15.75" customHeight="1">
      <c r="A30" s="641" t="s">
        <v>1766</v>
      </c>
      <c r="B30" s="29" t="s">
        <v>32</v>
      </c>
      <c r="C30" s="640" t="s">
        <v>34</v>
      </c>
      <c r="D30" s="640"/>
      <c r="E30" s="29">
        <v>26.37</v>
      </c>
      <c r="F30" s="382">
        <v>4834</v>
      </c>
      <c r="G30" s="370">
        <f t="shared" si="23"/>
        <v>127472.58</v>
      </c>
      <c r="H30" s="33" t="s">
        <v>57</v>
      </c>
      <c r="I30" s="380">
        <v>18</v>
      </c>
      <c r="J30" s="31">
        <v>2400</v>
      </c>
      <c r="K30" s="12">
        <f t="shared" si="1"/>
        <v>133.33333333333334</v>
      </c>
      <c r="L30" s="380">
        <v>18</v>
      </c>
      <c r="M30" s="13">
        <f t="shared" si="24"/>
        <v>2301.904761904761</v>
      </c>
      <c r="N30" s="12">
        <f t="shared" si="3"/>
        <v>127.88359788359783</v>
      </c>
      <c r="O30" s="14">
        <f t="shared" si="4"/>
        <v>0</v>
      </c>
      <c r="P30" s="15">
        <f t="shared" si="5"/>
        <v>-5.4497354497355133</v>
      </c>
      <c r="Q30" s="369">
        <f t="shared" si="6"/>
        <v>0.95912698412698361</v>
      </c>
      <c r="R30" s="615"/>
      <c r="S30" s="34">
        <v>0.22152777777777777</v>
      </c>
      <c r="T30" s="34">
        <v>0.30902777777777779</v>
      </c>
      <c r="U30" s="370">
        <f t="shared" ref="U30:U33" si="26">(S30-T29)*24*60</f>
        <v>26.999999999999986</v>
      </c>
      <c r="V30" s="381">
        <f t="shared" si="25"/>
        <v>126.00000000000003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-98.095238095238983</v>
      </c>
      <c r="AF30" s="369">
        <f t="shared" si="9"/>
        <v>0.95912698412698372</v>
      </c>
      <c r="AG30" s="615"/>
    </row>
    <row r="31" spans="1:33" ht="15.75" customHeight="1">
      <c r="A31" s="641" t="s">
        <v>1766</v>
      </c>
      <c r="B31" s="29" t="s">
        <v>32</v>
      </c>
      <c r="C31" s="640" t="s">
        <v>76</v>
      </c>
      <c r="D31" s="640"/>
      <c r="E31" s="29">
        <v>26.18</v>
      </c>
      <c r="F31" s="382">
        <v>5782</v>
      </c>
      <c r="G31" s="370">
        <f t="shared" si="23"/>
        <v>151372.76</v>
      </c>
      <c r="H31" s="33" t="s">
        <v>57</v>
      </c>
      <c r="I31" s="380">
        <v>18</v>
      </c>
      <c r="J31" s="31">
        <v>2400</v>
      </c>
      <c r="K31" s="12">
        <f t="shared" si="1"/>
        <v>133.33333333333334</v>
      </c>
      <c r="L31" s="380">
        <v>18</v>
      </c>
      <c r="M31" s="13">
        <f t="shared" si="24"/>
        <v>2297.4834437086088</v>
      </c>
      <c r="N31" s="12">
        <f t="shared" si="3"/>
        <v>127.63796909492271</v>
      </c>
      <c r="O31" s="14">
        <f t="shared" si="4"/>
        <v>0</v>
      </c>
      <c r="P31" s="15">
        <f t="shared" si="5"/>
        <v>-5.6953642384106331</v>
      </c>
      <c r="Q31" s="369">
        <f t="shared" si="6"/>
        <v>0.95728476821192021</v>
      </c>
      <c r="R31" s="615"/>
      <c r="S31" s="34">
        <v>0.3125</v>
      </c>
      <c r="T31" s="34">
        <v>0.41736111111111113</v>
      </c>
      <c r="U31" s="370">
        <f t="shared" si="26"/>
        <v>4.9999999999999822</v>
      </c>
      <c r="V31" s="381">
        <f t="shared" si="25"/>
        <v>151.00000000000003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-102.51655629139123</v>
      </c>
      <c r="AF31" s="369">
        <f t="shared" si="9"/>
        <v>0.95728476821192032</v>
      </c>
      <c r="AG31" s="615"/>
    </row>
    <row r="32" spans="1:33" ht="15.75" customHeight="1">
      <c r="A32" s="641" t="s">
        <v>1767</v>
      </c>
      <c r="B32" s="29" t="s">
        <v>32</v>
      </c>
      <c r="C32" s="640" t="s">
        <v>79</v>
      </c>
      <c r="D32" s="640"/>
      <c r="E32" s="29">
        <v>25.99</v>
      </c>
      <c r="F32" s="382">
        <v>1456</v>
      </c>
      <c r="G32" s="370">
        <f t="shared" si="23"/>
        <v>37841.439999999995</v>
      </c>
      <c r="H32" s="33" t="s">
        <v>57</v>
      </c>
      <c r="I32" s="380">
        <v>18</v>
      </c>
      <c r="J32" s="31">
        <v>2400</v>
      </c>
      <c r="K32" s="12">
        <f t="shared" si="1"/>
        <v>133.33333333333334</v>
      </c>
      <c r="L32" s="380">
        <v>18</v>
      </c>
      <c r="M32" s="13">
        <f t="shared" si="24"/>
        <v>2298.9473684210511</v>
      </c>
      <c r="N32" s="12">
        <f t="shared" si="3"/>
        <v>127.71929824561396</v>
      </c>
      <c r="O32" s="14">
        <f t="shared" si="4"/>
        <v>0</v>
      </c>
      <c r="P32" s="15">
        <f t="shared" si="5"/>
        <v>-5.6140350877193868</v>
      </c>
      <c r="Q32" s="369">
        <f t="shared" si="6"/>
        <v>0.95789473684210458</v>
      </c>
      <c r="R32" s="615"/>
      <c r="S32" s="34">
        <v>0.42083333333333334</v>
      </c>
      <c r="T32" s="34">
        <v>0.44722222222222224</v>
      </c>
      <c r="U32" s="370">
        <f t="shared" si="26"/>
        <v>4.9999999999999822</v>
      </c>
      <c r="V32" s="381">
        <f t="shared" si="25"/>
        <v>38.000000000000028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-101.05263157894888</v>
      </c>
      <c r="AF32" s="369">
        <f t="shared" si="9"/>
        <v>0.95789473684210469</v>
      </c>
      <c r="AG32" s="615"/>
    </row>
    <row r="33" spans="1:33" ht="15.75" customHeight="1">
      <c r="A33" s="641" t="s">
        <v>1768</v>
      </c>
      <c r="B33" s="29" t="s">
        <v>32</v>
      </c>
      <c r="C33" s="640" t="s">
        <v>35</v>
      </c>
      <c r="D33" s="640"/>
      <c r="E33" s="29">
        <v>25.99</v>
      </c>
      <c r="F33" s="382">
        <v>3126</v>
      </c>
      <c r="G33" s="370">
        <f t="shared" si="23"/>
        <v>81244.739999999991</v>
      </c>
      <c r="H33" s="33" t="s">
        <v>57</v>
      </c>
      <c r="I33" s="380">
        <v>14</v>
      </c>
      <c r="J33" s="31">
        <v>2400</v>
      </c>
      <c r="K33" s="12">
        <f t="shared" si="1"/>
        <v>171.42857142857142</v>
      </c>
      <c r="L33" s="380">
        <v>14</v>
      </c>
      <c r="M33" s="13">
        <f t="shared" si="24"/>
        <v>2287.3170731707332</v>
      </c>
      <c r="N33" s="12">
        <f t="shared" si="3"/>
        <v>163.37979094076667</v>
      </c>
      <c r="O33" s="14">
        <f t="shared" si="4"/>
        <v>0</v>
      </c>
      <c r="P33" s="15">
        <f t="shared" si="5"/>
        <v>-8.0487804878047484</v>
      </c>
      <c r="Q33" s="369">
        <f t="shared" si="6"/>
        <v>0.95304878048780561</v>
      </c>
      <c r="R33" s="615"/>
      <c r="S33" s="34">
        <v>0.45208333333333334</v>
      </c>
      <c r="T33" s="34">
        <v>0.50902777777777775</v>
      </c>
      <c r="U33" s="370">
        <f t="shared" si="26"/>
        <v>6.9999999999999751</v>
      </c>
      <c r="V33" s="381">
        <f t="shared" si="25"/>
        <v>81.999999999999943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-112.68292682926676</v>
      </c>
      <c r="AF33" s="369">
        <f t="shared" si="9"/>
        <v>0.9530487804878055</v>
      </c>
      <c r="AG33" s="615"/>
    </row>
    <row r="34" spans="1:33" ht="15.75" customHeight="1">
      <c r="A34" s="641" t="s">
        <v>1766</v>
      </c>
      <c r="B34" s="29" t="s">
        <v>1765</v>
      </c>
      <c r="C34" s="618"/>
      <c r="D34" s="618"/>
      <c r="E34" s="372"/>
      <c r="F34" s="382"/>
      <c r="G34" s="370"/>
      <c r="H34" s="382"/>
      <c r="I34" s="23">
        <v>17.2</v>
      </c>
      <c r="J34" s="31">
        <v>2400</v>
      </c>
      <c r="K34" s="12">
        <f t="shared" si="1"/>
        <v>139.53488372093022</v>
      </c>
      <c r="L34" s="23">
        <v>17.2</v>
      </c>
      <c r="M34" s="13">
        <f>AVERAGE(M29:M33)</f>
        <v>2295.9212271154493</v>
      </c>
      <c r="N34" s="12">
        <f t="shared" si="3"/>
        <v>133.48379227415404</v>
      </c>
      <c r="O34" s="14">
        <f t="shared" si="4"/>
        <v>0</v>
      </c>
      <c r="P34" s="15">
        <f t="shared" si="5"/>
        <v>-6.0510914467761836</v>
      </c>
      <c r="Q34" s="369">
        <f t="shared" si="6"/>
        <v>0.9566338446314373</v>
      </c>
      <c r="R34" s="615"/>
      <c r="S34" s="34"/>
      <c r="T34" s="34"/>
      <c r="U34" s="370"/>
      <c r="V34" s="381"/>
      <c r="W34" s="370"/>
      <c r="X34" s="370"/>
      <c r="Y34" s="24">
        <f>SUM(Y29:Y33)</f>
        <v>0</v>
      </c>
      <c r="Z34" s="24">
        <f>SUM(Z29:Z33)</f>
        <v>0</v>
      </c>
      <c r="AA34" s="614"/>
      <c r="AB34" s="614"/>
      <c r="AC34" s="24">
        <v>5</v>
      </c>
      <c r="AD34" s="24">
        <f>SUM(AD29:AD33)</f>
        <v>0</v>
      </c>
      <c r="AE34" s="14">
        <f t="shared" si="8"/>
        <v>-104.07877288455074</v>
      </c>
      <c r="AF34" s="369">
        <f t="shared" si="9"/>
        <v>0.95663384463143719</v>
      </c>
      <c r="AG34" s="615"/>
    </row>
    <row r="35" spans="1:33" ht="15.75" customHeight="1">
      <c r="A35" s="638" t="s">
        <v>1769</v>
      </c>
      <c r="B35" s="29" t="s">
        <v>32</v>
      </c>
      <c r="C35" s="616" t="s">
        <v>77</v>
      </c>
      <c r="D35" s="616"/>
      <c r="E35" s="29">
        <v>26.18</v>
      </c>
      <c r="F35" s="382">
        <v>4554</v>
      </c>
      <c r="G35" s="370">
        <f t="shared" ref="G35:G39" si="27">E35*F35</f>
        <v>119223.72</v>
      </c>
      <c r="H35" s="33" t="s">
        <v>57</v>
      </c>
      <c r="I35" s="380">
        <v>20</v>
      </c>
      <c r="J35" s="31">
        <v>2400</v>
      </c>
      <c r="K35" s="12">
        <f t="shared" si="1"/>
        <v>120</v>
      </c>
      <c r="L35" s="380">
        <v>20</v>
      </c>
      <c r="M35" s="13">
        <f t="shared" ref="M35:M39" si="28">F35/V35*60</f>
        <v>2296.1344537815125</v>
      </c>
      <c r="N35" s="12">
        <f t="shared" si="3"/>
        <v>114.80672268907563</v>
      </c>
      <c r="O35" s="14">
        <f t="shared" si="4"/>
        <v>0</v>
      </c>
      <c r="P35" s="15">
        <f t="shared" si="5"/>
        <v>-5.1932773109243726</v>
      </c>
      <c r="Q35" s="369">
        <f t="shared" si="6"/>
        <v>0.95672268907563018</v>
      </c>
      <c r="R35" s="615">
        <f>Q40</f>
        <v>0.95657672784164482</v>
      </c>
      <c r="S35" s="34">
        <v>8.3333333333333329E-2</v>
      </c>
      <c r="T35" s="34">
        <v>0.16597222222222222</v>
      </c>
      <c r="U35" s="370"/>
      <c r="V35" s="381">
        <f t="shared" ref="V35:V39" si="29">(T35-S35)*24*60</f>
        <v>119</v>
      </c>
      <c r="W35" s="21">
        <f>T35</f>
        <v>0.16597222222222222</v>
      </c>
      <c r="X35" s="21">
        <f>S36</f>
        <v>0.18333333333333329</v>
      </c>
      <c r="Y35" s="21"/>
      <c r="Z35" s="21"/>
      <c r="AA35" s="617"/>
      <c r="AB35" s="617"/>
      <c r="AC35" s="35">
        <v>5</v>
      </c>
      <c r="AD35" s="18"/>
      <c r="AE35" s="14">
        <f t="shared" si="8"/>
        <v>-103.86554621848745</v>
      </c>
      <c r="AF35" s="369">
        <f t="shared" si="9"/>
        <v>0.95672268907563018</v>
      </c>
      <c r="AG35" s="615">
        <f>AF40</f>
        <v>0.95657672784164482</v>
      </c>
    </row>
    <row r="36" spans="1:33" ht="15.75" customHeight="1">
      <c r="A36" s="638" t="s">
        <v>1770</v>
      </c>
      <c r="B36" s="29" t="s">
        <v>32</v>
      </c>
      <c r="C36" s="616" t="s">
        <v>37</v>
      </c>
      <c r="D36" s="616"/>
      <c r="E36" s="29">
        <v>24.43</v>
      </c>
      <c r="F36" s="382">
        <v>5082</v>
      </c>
      <c r="G36" s="370">
        <f t="shared" si="27"/>
        <v>124153.26</v>
      </c>
      <c r="H36" s="33" t="s">
        <v>57</v>
      </c>
      <c r="I36" s="380">
        <v>14</v>
      </c>
      <c r="J36" s="31">
        <v>2400</v>
      </c>
      <c r="K36" s="12">
        <f t="shared" si="1"/>
        <v>171.42857142857142</v>
      </c>
      <c r="L36" s="380">
        <v>14</v>
      </c>
      <c r="M36" s="13">
        <f t="shared" si="28"/>
        <v>2292.6315789473683</v>
      </c>
      <c r="N36" s="12">
        <f t="shared" si="3"/>
        <v>163.75939849624061</v>
      </c>
      <c r="O36" s="14">
        <f t="shared" si="4"/>
        <v>0</v>
      </c>
      <c r="P36" s="15">
        <f t="shared" si="5"/>
        <v>-7.6691729323308095</v>
      </c>
      <c r="Q36" s="369">
        <f t="shared" si="6"/>
        <v>0.95526315789473693</v>
      </c>
      <c r="R36" s="615"/>
      <c r="S36" s="34">
        <v>0.18333333333333329</v>
      </c>
      <c r="T36" s="34">
        <v>0.27569444444444441</v>
      </c>
      <c r="U36" s="370">
        <f t="shared" ref="U36:U39" si="30">(S36-T35)*24*60</f>
        <v>24.99999999999995</v>
      </c>
      <c r="V36" s="381">
        <f t="shared" si="29"/>
        <v>133</v>
      </c>
      <c r="W36" s="370"/>
      <c r="X36" s="370"/>
      <c r="Y36" s="370"/>
      <c r="Z36" s="370"/>
      <c r="AA36" s="617"/>
      <c r="AB36" s="617"/>
      <c r="AC36" s="35"/>
      <c r="AD36" s="18"/>
      <c r="AE36" s="14">
        <f t="shared" si="8"/>
        <v>-107.36842105263167</v>
      </c>
      <c r="AF36" s="369">
        <f t="shared" si="9"/>
        <v>0.95526315789473681</v>
      </c>
      <c r="AG36" s="615"/>
    </row>
    <row r="37" spans="1:33">
      <c r="A37" s="639" t="s">
        <v>11</v>
      </c>
      <c r="B37" s="29" t="s">
        <v>32</v>
      </c>
      <c r="C37" s="616" t="s">
        <v>38</v>
      </c>
      <c r="D37" s="616"/>
      <c r="E37" s="29">
        <v>25.98</v>
      </c>
      <c r="F37" s="382">
        <v>2364</v>
      </c>
      <c r="G37" s="370">
        <f t="shared" si="27"/>
        <v>61416.72</v>
      </c>
      <c r="H37" s="33" t="s">
        <v>57</v>
      </c>
      <c r="I37" s="380">
        <v>21</v>
      </c>
      <c r="J37" s="31">
        <v>2400</v>
      </c>
      <c r="K37" s="12">
        <f t="shared" si="1"/>
        <v>114.28571428571429</v>
      </c>
      <c r="L37" s="380">
        <v>21</v>
      </c>
      <c r="M37" s="13">
        <f t="shared" si="28"/>
        <v>2287.7419354838703</v>
      </c>
      <c r="N37" s="12">
        <f t="shared" si="3"/>
        <v>108.94009216589859</v>
      </c>
      <c r="O37" s="14">
        <f t="shared" si="4"/>
        <v>0</v>
      </c>
      <c r="P37" s="15">
        <f t="shared" si="5"/>
        <v>-5.345622119815701</v>
      </c>
      <c r="Q37" s="369">
        <f t="shared" si="6"/>
        <v>0.95322580645161259</v>
      </c>
      <c r="R37" s="615"/>
      <c r="S37" s="34">
        <v>0.27986111111111106</v>
      </c>
      <c r="T37" s="34">
        <v>0.32291666666666663</v>
      </c>
      <c r="U37" s="370">
        <f t="shared" si="30"/>
        <v>5.9999999999999787</v>
      </c>
      <c r="V37" s="381">
        <f t="shared" si="29"/>
        <v>62.000000000000021</v>
      </c>
      <c r="W37" s="370"/>
      <c r="X37" s="370"/>
      <c r="Y37" s="370"/>
      <c r="Z37" s="370"/>
      <c r="AA37" s="617"/>
      <c r="AB37" s="617"/>
      <c r="AC37" s="35"/>
      <c r="AD37" s="18"/>
      <c r="AE37" s="14">
        <f t="shared" si="8"/>
        <v>-112.25806451612971</v>
      </c>
      <c r="AF37" s="369">
        <f t="shared" si="9"/>
        <v>0.95322580645161259</v>
      </c>
      <c r="AG37" s="615"/>
    </row>
    <row r="38" spans="1:33">
      <c r="A38" s="639" t="s">
        <v>11</v>
      </c>
      <c r="B38" s="29" t="s">
        <v>32</v>
      </c>
      <c r="C38" s="616" t="s">
        <v>39</v>
      </c>
      <c r="D38" s="616"/>
      <c r="E38" s="29">
        <v>34.1</v>
      </c>
      <c r="F38" s="382">
        <v>4948</v>
      </c>
      <c r="G38" s="370">
        <f t="shared" si="27"/>
        <v>168726.80000000002</v>
      </c>
      <c r="H38" s="33" t="s">
        <v>57</v>
      </c>
      <c r="I38" s="380">
        <v>17</v>
      </c>
      <c r="J38" s="31">
        <v>1600</v>
      </c>
      <c r="K38" s="12">
        <f t="shared" si="1"/>
        <v>94.117647058823536</v>
      </c>
      <c r="L38" s="380">
        <v>17</v>
      </c>
      <c r="M38" s="13">
        <f t="shared" si="28"/>
        <v>1530.309278350516</v>
      </c>
      <c r="N38" s="12">
        <f t="shared" si="3"/>
        <v>90.018192844148004</v>
      </c>
      <c r="O38" s="14">
        <f t="shared" si="4"/>
        <v>0</v>
      </c>
      <c r="P38" s="15">
        <f t="shared" si="5"/>
        <v>-4.0994542146755322</v>
      </c>
      <c r="Q38" s="369">
        <f t="shared" si="6"/>
        <v>0.95644329896907243</v>
      </c>
      <c r="R38" s="615"/>
      <c r="S38" s="34">
        <v>0.32777777777777772</v>
      </c>
      <c r="T38" s="34">
        <v>0.46249999999999991</v>
      </c>
      <c r="U38" s="370">
        <f t="shared" si="30"/>
        <v>6.9999999999999751</v>
      </c>
      <c r="V38" s="381">
        <f t="shared" si="29"/>
        <v>193.99999999999994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-69.690721649483976</v>
      </c>
      <c r="AF38" s="369">
        <f t="shared" si="9"/>
        <v>0.95644329896907254</v>
      </c>
      <c r="AG38" s="615"/>
    </row>
    <row r="39" spans="1:33">
      <c r="A39" s="639" t="s">
        <v>11</v>
      </c>
      <c r="B39" s="29" t="s">
        <v>32</v>
      </c>
      <c r="C39" s="616" t="s">
        <v>84</v>
      </c>
      <c r="D39" s="616"/>
      <c r="E39" s="29">
        <v>20.21</v>
      </c>
      <c r="F39" s="382">
        <v>2922</v>
      </c>
      <c r="G39" s="370">
        <f t="shared" si="27"/>
        <v>59053.62</v>
      </c>
      <c r="H39" s="33" t="s">
        <v>57</v>
      </c>
      <c r="I39" s="380">
        <v>18</v>
      </c>
      <c r="J39" s="31">
        <v>2400</v>
      </c>
      <c r="K39" s="12">
        <f t="shared" si="1"/>
        <v>133.33333333333334</v>
      </c>
      <c r="L39" s="380">
        <v>18</v>
      </c>
      <c r="M39" s="13">
        <f t="shared" si="28"/>
        <v>2306.8421052631561</v>
      </c>
      <c r="N39" s="12">
        <f t="shared" si="3"/>
        <v>128.157894736842</v>
      </c>
      <c r="O39" s="14">
        <f t="shared" si="4"/>
        <v>0</v>
      </c>
      <c r="P39" s="15">
        <f t="shared" si="5"/>
        <v>-5.1754385964913467</v>
      </c>
      <c r="Q39" s="369">
        <f t="shared" si="6"/>
        <v>0.96118421052631486</v>
      </c>
      <c r="R39" s="615"/>
      <c r="S39" s="34">
        <v>0.46597222222222212</v>
      </c>
      <c r="T39" s="34">
        <v>0.51874999999999993</v>
      </c>
      <c r="U39" s="370">
        <f t="shared" si="30"/>
        <v>4.9999999999999822</v>
      </c>
      <c r="V39" s="381">
        <f t="shared" si="29"/>
        <v>76.000000000000057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-93.1578947368439</v>
      </c>
      <c r="AF39" s="369">
        <f t="shared" si="9"/>
        <v>0.96118421052631509</v>
      </c>
      <c r="AG39" s="615"/>
    </row>
    <row r="40" spans="1:33">
      <c r="A40" s="639" t="s">
        <v>11</v>
      </c>
      <c r="B40" s="30" t="s">
        <v>6</v>
      </c>
      <c r="C40" s="618"/>
      <c r="D40" s="618"/>
      <c r="E40" s="372"/>
      <c r="F40" s="30"/>
      <c r="G40" s="12"/>
      <c r="H40" s="382"/>
      <c r="I40" s="23">
        <v>18</v>
      </c>
      <c r="J40" s="31">
        <v>2240</v>
      </c>
      <c r="K40" s="12">
        <f t="shared" si="1"/>
        <v>124.44444444444444</v>
      </c>
      <c r="L40" s="23">
        <v>18</v>
      </c>
      <c r="M40" s="13">
        <f>AVERAGE(M35:M39)</f>
        <v>2142.7318703652845</v>
      </c>
      <c r="N40" s="12">
        <f t="shared" si="3"/>
        <v>119.04065946473803</v>
      </c>
      <c r="O40" s="14">
        <f t="shared" si="4"/>
        <v>0</v>
      </c>
      <c r="P40" s="15">
        <f t="shared" si="5"/>
        <v>-5.4037849797064155</v>
      </c>
      <c r="Q40" s="369">
        <f t="shared" si="6"/>
        <v>0.95657672784164482</v>
      </c>
      <c r="R40" s="615"/>
      <c r="S40" s="34"/>
      <c r="T40" s="34"/>
      <c r="U40" s="12"/>
      <c r="V40" s="381"/>
      <c r="W40" s="12"/>
      <c r="X40" s="12"/>
      <c r="Y40" s="24">
        <f>SUM(Y35:Y39)</f>
        <v>0</v>
      </c>
      <c r="Z40" s="24">
        <f>SUM(Z35:Z39)</f>
        <v>0</v>
      </c>
      <c r="AA40" s="614"/>
      <c r="AB40" s="614"/>
      <c r="AC40" s="24">
        <v>5</v>
      </c>
      <c r="AD40" s="24">
        <f>SUM(AD35:AD39)</f>
        <v>0</v>
      </c>
      <c r="AE40" s="14">
        <f t="shared" si="8"/>
        <v>-97.268129634715478</v>
      </c>
      <c r="AF40" s="369">
        <f t="shared" si="9"/>
        <v>0.95657672784164482</v>
      </c>
      <c r="AG40" s="615"/>
    </row>
    <row r="41" spans="1:33" ht="15.75" customHeight="1">
      <c r="A41" s="632" t="s">
        <v>12</v>
      </c>
      <c r="B41" s="29" t="s">
        <v>40</v>
      </c>
      <c r="C41" s="622" t="s">
        <v>41</v>
      </c>
      <c r="D41" s="623"/>
      <c r="E41" s="29">
        <v>37.880000000000003</v>
      </c>
      <c r="F41" s="382">
        <v>505</v>
      </c>
      <c r="G41" s="370">
        <f t="shared" ref="G41:G44" si="31">E41*F41</f>
        <v>19129.400000000001</v>
      </c>
      <c r="H41" s="33" t="s">
        <v>57</v>
      </c>
      <c r="I41" s="380">
        <v>13</v>
      </c>
      <c r="J41" s="31">
        <v>2000</v>
      </c>
      <c r="K41" s="12">
        <f t="shared" si="1"/>
        <v>153.84615384615384</v>
      </c>
      <c r="L41" s="380">
        <v>13</v>
      </c>
      <c r="M41" s="13">
        <f t="shared" ref="M41:M44" si="32">F41/V41*60</f>
        <v>1893.7499999999995</v>
      </c>
      <c r="N41" s="13">
        <f t="shared" si="3"/>
        <v>145.67307692307688</v>
      </c>
      <c r="O41" s="14">
        <f t="shared" si="4"/>
        <v>0</v>
      </c>
      <c r="P41" s="15">
        <f t="shared" si="5"/>
        <v>-8.1730769230769624</v>
      </c>
      <c r="Q41" s="369">
        <f t="shared" si="6"/>
        <v>0.94687499999999969</v>
      </c>
      <c r="R41" s="635">
        <f>Q45</f>
        <v>0.95328986482403411</v>
      </c>
      <c r="S41" s="34">
        <v>8.3333333333333329E-2</v>
      </c>
      <c r="T41" s="34">
        <v>9.4444444444444442E-2</v>
      </c>
      <c r="U41" s="21"/>
      <c r="V41" s="381">
        <f t="shared" ref="V41:V44" si="33">(T41-S41)*24*60</f>
        <v>16.000000000000004</v>
      </c>
      <c r="W41" s="16">
        <f>T41</f>
        <v>9.4444444444444442E-2</v>
      </c>
      <c r="X41" s="16">
        <f>S42</f>
        <v>0.1125</v>
      </c>
      <c r="Y41" s="19"/>
      <c r="Z41" s="19"/>
      <c r="AA41" s="624"/>
      <c r="AB41" s="625"/>
      <c r="AC41" s="35">
        <v>4</v>
      </c>
      <c r="AD41" s="18"/>
      <c r="AE41" s="14">
        <f t="shared" si="8"/>
        <v>-106.25000000000045</v>
      </c>
      <c r="AF41" s="369">
        <f t="shared" si="9"/>
        <v>0.9468749999999998</v>
      </c>
      <c r="AG41" s="635">
        <f>AF45</f>
        <v>0.95328986482403411</v>
      </c>
    </row>
    <row r="42" spans="1:33" ht="15.75" customHeight="1">
      <c r="A42" s="633" t="s">
        <v>12</v>
      </c>
      <c r="B42" s="29" t="s">
        <v>40</v>
      </c>
      <c r="C42" s="622" t="s">
        <v>42</v>
      </c>
      <c r="D42" s="623"/>
      <c r="E42" s="29">
        <v>35.119999999999997</v>
      </c>
      <c r="F42" s="382">
        <v>3902</v>
      </c>
      <c r="G42" s="370">
        <f t="shared" si="31"/>
        <v>137038.24</v>
      </c>
      <c r="H42" s="33" t="s">
        <v>57</v>
      </c>
      <c r="I42" s="380">
        <v>10</v>
      </c>
      <c r="J42" s="31">
        <v>3000</v>
      </c>
      <c r="K42" s="12">
        <f t="shared" si="1"/>
        <v>300</v>
      </c>
      <c r="L42" s="380">
        <v>10</v>
      </c>
      <c r="M42" s="13">
        <f t="shared" si="32"/>
        <v>2855.1219512195121</v>
      </c>
      <c r="N42" s="13">
        <f t="shared" si="3"/>
        <v>285.51219512195121</v>
      </c>
      <c r="O42" s="14">
        <f t="shared" si="4"/>
        <v>0</v>
      </c>
      <c r="P42" s="15">
        <f t="shared" si="5"/>
        <v>-14.487804878048792</v>
      </c>
      <c r="Q42" s="369">
        <f t="shared" si="6"/>
        <v>0.95170731707317069</v>
      </c>
      <c r="R42" s="636"/>
      <c r="S42" s="34">
        <v>0.1125</v>
      </c>
      <c r="T42" s="34">
        <v>0.16944444444444445</v>
      </c>
      <c r="U42" s="370">
        <f t="shared" ref="U42:U44" si="34">(S42-T41)*24*60</f>
        <v>26.000000000000007</v>
      </c>
      <c r="V42" s="381">
        <f t="shared" si="33"/>
        <v>82</v>
      </c>
      <c r="W42" s="16"/>
      <c r="X42" s="16"/>
      <c r="Y42" s="19"/>
      <c r="Z42" s="19"/>
      <c r="AA42" s="624"/>
      <c r="AB42" s="625"/>
      <c r="AC42" s="35"/>
      <c r="AD42" s="18"/>
      <c r="AE42" s="14">
        <f t="shared" si="8"/>
        <v>-144.87804878048792</v>
      </c>
      <c r="AF42" s="369">
        <f t="shared" si="9"/>
        <v>0.95170731707317069</v>
      </c>
      <c r="AG42" s="636"/>
    </row>
    <row r="43" spans="1:33" ht="15.75" customHeight="1">
      <c r="A43" s="633" t="s">
        <v>12</v>
      </c>
      <c r="B43" s="29" t="s">
        <v>40</v>
      </c>
      <c r="C43" s="622" t="s">
        <v>43</v>
      </c>
      <c r="D43" s="623"/>
      <c r="E43" s="29">
        <v>21.13</v>
      </c>
      <c r="F43" s="382">
        <v>3891</v>
      </c>
      <c r="G43" s="370">
        <f t="shared" si="31"/>
        <v>82216.83</v>
      </c>
      <c r="H43" s="33" t="s">
        <v>57</v>
      </c>
      <c r="I43" s="380">
        <v>10</v>
      </c>
      <c r="J43" s="31">
        <v>3000</v>
      </c>
      <c r="K43" s="12">
        <f t="shared" si="1"/>
        <v>300</v>
      </c>
      <c r="L43" s="380">
        <v>10</v>
      </c>
      <c r="M43" s="13">
        <f t="shared" si="32"/>
        <v>2882.2222222222226</v>
      </c>
      <c r="N43" s="13">
        <f t="shared" si="3"/>
        <v>288.22222222222229</v>
      </c>
      <c r="O43" s="14">
        <f t="shared" si="4"/>
        <v>0</v>
      </c>
      <c r="P43" s="15">
        <f t="shared" si="5"/>
        <v>-11.777777777777715</v>
      </c>
      <c r="Q43" s="369">
        <f t="shared" si="6"/>
        <v>0.96074074074074101</v>
      </c>
      <c r="R43" s="636"/>
      <c r="S43" s="34">
        <v>0.17430555555555557</v>
      </c>
      <c r="T43" s="34">
        <v>0.23055555555555557</v>
      </c>
      <c r="U43" s="370">
        <f t="shared" si="34"/>
        <v>7.0000000000000151</v>
      </c>
      <c r="V43" s="381">
        <f t="shared" si="33"/>
        <v>80.999999999999986</v>
      </c>
      <c r="W43" s="16"/>
      <c r="X43" s="16"/>
      <c r="Y43" s="19"/>
      <c r="Z43" s="19"/>
      <c r="AA43" s="624"/>
      <c r="AB43" s="625"/>
      <c r="AC43" s="35"/>
      <c r="AD43" s="18"/>
      <c r="AE43" s="14">
        <f t="shared" si="8"/>
        <v>-117.77777777777737</v>
      </c>
      <c r="AF43" s="369">
        <f t="shared" si="9"/>
        <v>0.9607407407407409</v>
      </c>
      <c r="AG43" s="636"/>
    </row>
    <row r="44" spans="1:33" ht="15.75" customHeight="1">
      <c r="A44" s="633" t="s">
        <v>12</v>
      </c>
      <c r="B44" s="29" t="s">
        <v>40</v>
      </c>
      <c r="C44" s="622" t="s">
        <v>44</v>
      </c>
      <c r="D44" s="623"/>
      <c r="E44" s="29">
        <v>27.17</v>
      </c>
      <c r="F44" s="382">
        <v>5044</v>
      </c>
      <c r="G44" s="370">
        <f t="shared" si="31"/>
        <v>137045.48000000001</v>
      </c>
      <c r="H44" s="33" t="s">
        <v>57</v>
      </c>
      <c r="I44" s="380">
        <v>10</v>
      </c>
      <c r="J44" s="31">
        <v>3000</v>
      </c>
      <c r="K44" s="12">
        <f t="shared" si="1"/>
        <v>300</v>
      </c>
      <c r="L44" s="380">
        <v>10</v>
      </c>
      <c r="M44" s="13">
        <f t="shared" si="32"/>
        <v>2855.0943396226421</v>
      </c>
      <c r="N44" s="13">
        <f t="shared" si="3"/>
        <v>285.50943396226421</v>
      </c>
      <c r="O44" s="14">
        <f t="shared" si="4"/>
        <v>0</v>
      </c>
      <c r="P44" s="15">
        <f t="shared" si="5"/>
        <v>-14.490566037735789</v>
      </c>
      <c r="Q44" s="369">
        <f t="shared" si="6"/>
        <v>0.95169811320754738</v>
      </c>
      <c r="R44" s="636"/>
      <c r="S44" s="34">
        <v>0.23611111111111113</v>
      </c>
      <c r="T44" s="34">
        <v>0.30972222222222223</v>
      </c>
      <c r="U44" s="370">
        <f t="shared" si="34"/>
        <v>8.0000000000000107</v>
      </c>
      <c r="V44" s="381">
        <f t="shared" si="33"/>
        <v>105.99999999999999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-144.90566037735789</v>
      </c>
      <c r="AF44" s="369">
        <f t="shared" si="9"/>
        <v>0.95169811320754738</v>
      </c>
      <c r="AG44" s="636"/>
    </row>
    <row r="45" spans="1:33" ht="15.75" customHeight="1">
      <c r="A45" s="634" t="s">
        <v>12</v>
      </c>
      <c r="B45" s="29" t="s">
        <v>6</v>
      </c>
      <c r="C45" s="612"/>
      <c r="D45" s="613"/>
      <c r="E45" s="371"/>
      <c r="F45" s="382"/>
      <c r="G45" s="370"/>
      <c r="H45" s="382"/>
      <c r="I45" s="23">
        <v>10.75</v>
      </c>
      <c r="J45" s="31">
        <v>2750</v>
      </c>
      <c r="K45" s="12">
        <f t="shared" si="1"/>
        <v>255.81395348837211</v>
      </c>
      <c r="L45" s="23">
        <v>10.75</v>
      </c>
      <c r="M45" s="13">
        <f>AVERAGE(M41:M44)</f>
        <v>2621.5471282660938</v>
      </c>
      <c r="N45" s="12">
        <f t="shared" si="3"/>
        <v>243.86484914103198</v>
      </c>
      <c r="O45" s="14">
        <f t="shared" si="4"/>
        <v>0</v>
      </c>
      <c r="P45" s="15">
        <f t="shared" si="5"/>
        <v>-11.949104347340125</v>
      </c>
      <c r="Q45" s="369">
        <f t="shared" si="6"/>
        <v>0.95328986482403411</v>
      </c>
      <c r="R45" s="637"/>
      <c r="S45" s="34"/>
      <c r="T45" s="34"/>
      <c r="U45" s="370"/>
      <c r="V45" s="381"/>
      <c r="W45" s="16"/>
      <c r="X45" s="16"/>
      <c r="Y45" s="24">
        <f>SUM(Y41:Y44)</f>
        <v>0</v>
      </c>
      <c r="Z45" s="24">
        <f>SUM(Z41:Z44)</f>
        <v>0</v>
      </c>
      <c r="AA45" s="628"/>
      <c r="AB45" s="629"/>
      <c r="AC45" s="24">
        <v>4</v>
      </c>
      <c r="AD45" s="24">
        <f>SUM(AD41:AD44)</f>
        <v>0</v>
      </c>
      <c r="AE45" s="14">
        <f t="shared" si="8"/>
        <v>-128.45287173390625</v>
      </c>
      <c r="AF45" s="369">
        <f t="shared" si="9"/>
        <v>0.95328986482403411</v>
      </c>
      <c r="AG45" s="637"/>
    </row>
    <row r="46" spans="1:33" ht="15.75" customHeight="1">
      <c r="A46" s="630" t="s">
        <v>1771</v>
      </c>
      <c r="B46" s="29" t="s">
        <v>15</v>
      </c>
      <c r="C46" s="616" t="s">
        <v>46</v>
      </c>
      <c r="D46" s="616"/>
      <c r="E46" s="29">
        <v>56.43</v>
      </c>
      <c r="F46" s="32">
        <v>1065</v>
      </c>
      <c r="G46" s="370">
        <f t="shared" ref="G46:G52" si="35">E46*F46</f>
        <v>60097.95</v>
      </c>
      <c r="H46" s="33" t="s">
        <v>57</v>
      </c>
      <c r="I46" s="380">
        <v>22</v>
      </c>
      <c r="J46" s="31">
        <v>2000</v>
      </c>
      <c r="K46" s="12">
        <f t="shared" si="1"/>
        <v>90.909090909090907</v>
      </c>
      <c r="L46" s="380">
        <v>22</v>
      </c>
      <c r="M46" s="13">
        <f t="shared" ref="M46" si="36">F46/V46*60</f>
        <v>1936.3636363636365</v>
      </c>
      <c r="N46" s="13">
        <f t="shared" si="3"/>
        <v>88.016528925619838</v>
      </c>
      <c r="O46" s="14">
        <f t="shared" si="4"/>
        <v>0</v>
      </c>
      <c r="P46" s="15">
        <f t="shared" si="5"/>
        <v>-2.8925619834710687</v>
      </c>
      <c r="Q46" s="369">
        <f t="shared" si="6"/>
        <v>0.96818181818181825</v>
      </c>
      <c r="R46" s="615">
        <f>Q53</f>
        <v>0.96102192908829065</v>
      </c>
      <c r="S46" s="34">
        <v>0.16666666666666666</v>
      </c>
      <c r="T46" s="34">
        <v>0.18958333333333333</v>
      </c>
      <c r="U46" s="21"/>
      <c r="V46" s="381">
        <f t="shared" ref="V46:V52" si="37">(T46-S46)*24*60</f>
        <v>33</v>
      </c>
      <c r="W46" s="16">
        <f>T46</f>
        <v>0.18958333333333333</v>
      </c>
      <c r="X46" s="16">
        <f>S47</f>
        <v>0.21041666666666667</v>
      </c>
      <c r="Y46" s="21"/>
      <c r="Z46" s="21"/>
      <c r="AA46" s="617"/>
      <c r="AB46" s="617"/>
      <c r="AC46" s="35">
        <v>7</v>
      </c>
      <c r="AD46" s="18"/>
      <c r="AE46" s="14">
        <f t="shared" si="8"/>
        <v>-63.636363636363512</v>
      </c>
      <c r="AF46" s="369">
        <f t="shared" si="9"/>
        <v>0.96818181818181825</v>
      </c>
      <c r="AG46" s="615">
        <f>AF53</f>
        <v>0.96102192908829054</v>
      </c>
    </row>
    <row r="47" spans="1:33" ht="15.75" customHeight="1">
      <c r="A47" s="630" t="s">
        <v>181</v>
      </c>
      <c r="B47" s="29" t="s">
        <v>19</v>
      </c>
      <c r="C47" s="616" t="s">
        <v>81</v>
      </c>
      <c r="D47" s="616"/>
      <c r="E47" s="29">
        <v>46</v>
      </c>
      <c r="F47" s="32">
        <v>1756</v>
      </c>
      <c r="G47" s="370">
        <f t="shared" si="35"/>
        <v>80776</v>
      </c>
      <c r="H47" s="33" t="s">
        <v>57</v>
      </c>
      <c r="I47" s="380">
        <v>16</v>
      </c>
      <c r="J47" s="31">
        <v>2000</v>
      </c>
      <c r="K47" s="12">
        <f t="shared" si="1"/>
        <v>125</v>
      </c>
      <c r="L47" s="380">
        <v>16</v>
      </c>
      <c r="M47" s="13">
        <f>F47/V47*60</f>
        <v>1915.6363636363633</v>
      </c>
      <c r="N47" s="13">
        <f t="shared" si="3"/>
        <v>119.72727272727271</v>
      </c>
      <c r="O47" s="14">
        <f t="shared" si="4"/>
        <v>0</v>
      </c>
      <c r="P47" s="15">
        <f t="shared" si="5"/>
        <v>-5.2727272727272947</v>
      </c>
      <c r="Q47" s="369">
        <f t="shared" si="6"/>
        <v>0.95781818181818168</v>
      </c>
      <c r="R47" s="615"/>
      <c r="S47" s="34">
        <v>0.21041666666666667</v>
      </c>
      <c r="T47" s="34">
        <v>0.24861111111111112</v>
      </c>
      <c r="U47" s="370">
        <f t="shared" ref="U47:U52" si="38">IF(S47=TIME(17,0,0),"",(S47-T46)*24*60)</f>
        <v>30.000000000000014</v>
      </c>
      <c r="V47" s="381">
        <f t="shared" si="37"/>
        <v>55.000000000000007</v>
      </c>
      <c r="W47" s="16"/>
      <c r="X47" s="16"/>
      <c r="Y47" s="16"/>
      <c r="Z47" s="16"/>
      <c r="AA47" s="617"/>
      <c r="AB47" s="617"/>
      <c r="AC47" s="35"/>
      <c r="AD47" s="18"/>
      <c r="AE47" s="14">
        <f t="shared" si="8"/>
        <v>-84.363636363636715</v>
      </c>
      <c r="AF47" s="369">
        <f t="shared" si="9"/>
        <v>0.95781818181818168</v>
      </c>
      <c r="AG47" s="615"/>
    </row>
    <row r="48" spans="1:33" ht="15.75" customHeight="1">
      <c r="A48" s="630" t="s">
        <v>181</v>
      </c>
      <c r="B48" s="29" t="s">
        <v>19</v>
      </c>
      <c r="C48" s="622" t="s">
        <v>945</v>
      </c>
      <c r="D48" s="623"/>
      <c r="E48" s="29">
        <v>46</v>
      </c>
      <c r="F48" s="32">
        <v>3667</v>
      </c>
      <c r="G48" s="370">
        <f t="shared" si="35"/>
        <v>168682</v>
      </c>
      <c r="H48" s="33" t="s">
        <v>57</v>
      </c>
      <c r="I48" s="380">
        <v>17</v>
      </c>
      <c r="J48" s="31">
        <v>2000</v>
      </c>
      <c r="K48" s="12">
        <f t="shared" si="1"/>
        <v>117.64705882352941</v>
      </c>
      <c r="L48" s="380">
        <v>17</v>
      </c>
      <c r="M48" s="13">
        <f t="shared" ref="M48:M52" si="39">F48/V48*60</f>
        <v>1913.217391304348</v>
      </c>
      <c r="N48" s="13">
        <f t="shared" si="3"/>
        <v>112.54219948849106</v>
      </c>
      <c r="O48" s="14">
        <f t="shared" si="4"/>
        <v>0</v>
      </c>
      <c r="P48" s="15">
        <f t="shared" si="5"/>
        <v>-5.1048593350383413</v>
      </c>
      <c r="Q48" s="369">
        <f t="shared" si="6"/>
        <v>0.9566086956521741</v>
      </c>
      <c r="R48" s="615"/>
      <c r="S48" s="34">
        <v>0.25416666666666665</v>
      </c>
      <c r="T48" s="34">
        <v>0.33402777777777776</v>
      </c>
      <c r="U48" s="370">
        <f t="shared" si="38"/>
        <v>7.9999999999999716</v>
      </c>
      <c r="V48" s="381">
        <f t="shared" si="37"/>
        <v>114.99999999999999</v>
      </c>
      <c r="W48" s="16"/>
      <c r="X48" s="16"/>
      <c r="Y48" s="19"/>
      <c r="Z48" s="19"/>
      <c r="AA48" s="617"/>
      <c r="AB48" s="617"/>
      <c r="AC48" s="35"/>
      <c r="AD48" s="18"/>
      <c r="AE48" s="14">
        <f t="shared" si="8"/>
        <v>-86.782608695652016</v>
      </c>
      <c r="AF48" s="369">
        <f t="shared" si="9"/>
        <v>0.95660869565217399</v>
      </c>
      <c r="AG48" s="615"/>
    </row>
    <row r="49" spans="1:33" ht="15.75" customHeight="1">
      <c r="A49" s="630" t="s">
        <v>181</v>
      </c>
      <c r="B49" s="29" t="s">
        <v>15</v>
      </c>
      <c r="C49" s="374" t="s">
        <v>27</v>
      </c>
      <c r="D49" s="375"/>
      <c r="E49" s="29">
        <v>59.04</v>
      </c>
      <c r="F49" s="32">
        <v>2375</v>
      </c>
      <c r="G49" s="370">
        <f t="shared" si="35"/>
        <v>140220</v>
      </c>
      <c r="H49" s="33" t="s">
        <v>57</v>
      </c>
      <c r="I49" s="380">
        <v>19</v>
      </c>
      <c r="J49" s="31">
        <v>2000</v>
      </c>
      <c r="K49" s="12">
        <f t="shared" si="1"/>
        <v>105.26315789473684</v>
      </c>
      <c r="L49" s="380">
        <v>19</v>
      </c>
      <c r="M49" s="13">
        <f t="shared" si="39"/>
        <v>1925.6756756756763</v>
      </c>
      <c r="N49" s="13">
        <f t="shared" si="3"/>
        <v>101.35135135135138</v>
      </c>
      <c r="O49" s="14">
        <f t="shared" si="4"/>
        <v>0</v>
      </c>
      <c r="P49" s="15">
        <f t="shared" si="5"/>
        <v>-3.9118065433854525</v>
      </c>
      <c r="Q49" s="369">
        <f t="shared" si="6"/>
        <v>0.96283783783783816</v>
      </c>
      <c r="R49" s="615"/>
      <c r="S49" s="34">
        <v>0.33819444444444441</v>
      </c>
      <c r="T49" s="34">
        <v>0.38958333333333328</v>
      </c>
      <c r="U49" s="370">
        <f t="shared" si="38"/>
        <v>5.9999999999999787</v>
      </c>
      <c r="V49" s="381">
        <f t="shared" si="37"/>
        <v>73.999999999999972</v>
      </c>
      <c r="W49" s="16"/>
      <c r="X49" s="16"/>
      <c r="Y49" s="19"/>
      <c r="Z49" s="19"/>
      <c r="AA49" s="617"/>
      <c r="AB49" s="617"/>
      <c r="AC49" s="35"/>
      <c r="AD49" s="18"/>
      <c r="AE49" s="14">
        <f t="shared" si="8"/>
        <v>-74.324324324323698</v>
      </c>
      <c r="AF49" s="369">
        <f t="shared" si="9"/>
        <v>0.96283783783783816</v>
      </c>
      <c r="AG49" s="615"/>
    </row>
    <row r="50" spans="1:33" ht="15.75" customHeight="1">
      <c r="A50" s="630" t="s">
        <v>181</v>
      </c>
      <c r="B50" s="29" t="s">
        <v>15</v>
      </c>
      <c r="C50" s="374" t="s">
        <v>48</v>
      </c>
      <c r="D50" s="375"/>
      <c r="E50" s="29">
        <v>55.56</v>
      </c>
      <c r="F50" s="32">
        <v>1664</v>
      </c>
      <c r="G50" s="370">
        <f t="shared" si="35"/>
        <v>92451.839999999997</v>
      </c>
      <c r="H50" s="33" t="s">
        <v>57</v>
      </c>
      <c r="I50" s="380">
        <v>17</v>
      </c>
      <c r="J50" s="31">
        <v>2000</v>
      </c>
      <c r="K50" s="12">
        <f t="shared" si="1"/>
        <v>117.64705882352941</v>
      </c>
      <c r="L50" s="380">
        <v>17</v>
      </c>
      <c r="M50" s="13">
        <f t="shared" si="39"/>
        <v>1920.0000000000009</v>
      </c>
      <c r="N50" s="13">
        <f t="shared" si="3"/>
        <v>112.94117647058829</v>
      </c>
      <c r="O50" s="14">
        <f t="shared" si="4"/>
        <v>0</v>
      </c>
      <c r="P50" s="15">
        <f t="shared" si="5"/>
        <v>-4.7058823529411171</v>
      </c>
      <c r="Q50" s="369">
        <f t="shared" si="6"/>
        <v>0.96000000000000052</v>
      </c>
      <c r="R50" s="615"/>
      <c r="S50" s="34">
        <v>0.70833333333333337</v>
      </c>
      <c r="T50" s="34">
        <v>0.74444444444444446</v>
      </c>
      <c r="U50" s="370" t="str">
        <f t="shared" si="38"/>
        <v/>
      </c>
      <c r="V50" s="381">
        <f t="shared" si="37"/>
        <v>51.999999999999972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-79.999999999999091</v>
      </c>
      <c r="AF50" s="369">
        <f t="shared" si="9"/>
        <v>0.96000000000000041</v>
      </c>
      <c r="AG50" s="615"/>
    </row>
    <row r="51" spans="1:33" ht="15.75" customHeight="1">
      <c r="A51" s="630" t="s">
        <v>1772</v>
      </c>
      <c r="B51" s="29" t="s">
        <v>15</v>
      </c>
      <c r="C51" s="622" t="s">
        <v>841</v>
      </c>
      <c r="D51" s="623"/>
      <c r="E51" s="29">
        <v>54.09</v>
      </c>
      <c r="F51" s="32">
        <v>1212</v>
      </c>
      <c r="G51" s="370">
        <f t="shared" si="35"/>
        <v>65557.08</v>
      </c>
      <c r="H51" s="33" t="s">
        <v>57</v>
      </c>
      <c r="I51" s="380">
        <v>13</v>
      </c>
      <c r="J51" s="31">
        <v>2000</v>
      </c>
      <c r="K51" s="12">
        <f t="shared" si="1"/>
        <v>153.84615384615384</v>
      </c>
      <c r="L51" s="380">
        <v>13</v>
      </c>
      <c r="M51" s="13">
        <f t="shared" si="39"/>
        <v>1913.6842105263142</v>
      </c>
      <c r="N51" s="13">
        <f t="shared" si="3"/>
        <v>147.20647773279342</v>
      </c>
      <c r="O51" s="14">
        <f t="shared" si="4"/>
        <v>0</v>
      </c>
      <c r="P51" s="15">
        <f t="shared" si="5"/>
        <v>-6.639676113360423</v>
      </c>
      <c r="Q51" s="369">
        <f t="shared" si="6"/>
        <v>0.95684210526315727</v>
      </c>
      <c r="R51" s="615"/>
      <c r="S51" s="34">
        <v>0.74930555555555556</v>
      </c>
      <c r="T51" s="34">
        <v>0.77569444444444446</v>
      </c>
      <c r="U51" s="370">
        <f t="shared" si="38"/>
        <v>6.9999999999999751</v>
      </c>
      <c r="V51" s="381">
        <f t="shared" si="37"/>
        <v>38.000000000000028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-86.315789473685754</v>
      </c>
      <c r="AF51" s="369">
        <f t="shared" si="9"/>
        <v>0.95684210526315716</v>
      </c>
      <c r="AG51" s="615"/>
    </row>
    <row r="52" spans="1:33" ht="15.75" customHeight="1">
      <c r="A52" s="630" t="s">
        <v>181</v>
      </c>
      <c r="B52" s="29" t="s">
        <v>15</v>
      </c>
      <c r="C52" s="622" t="s">
        <v>85</v>
      </c>
      <c r="D52" s="623"/>
      <c r="E52" s="29">
        <v>56.43</v>
      </c>
      <c r="F52" s="32">
        <v>1190</v>
      </c>
      <c r="G52" s="370">
        <f t="shared" si="35"/>
        <v>67151.7</v>
      </c>
      <c r="H52" s="33" t="s">
        <v>57</v>
      </c>
      <c r="I52" s="380">
        <v>13</v>
      </c>
      <c r="J52" s="31">
        <v>2000</v>
      </c>
      <c r="K52" s="12">
        <f t="shared" si="1"/>
        <v>153.84615384615384</v>
      </c>
      <c r="L52" s="380">
        <v>13</v>
      </c>
      <c r="M52" s="13">
        <f t="shared" si="39"/>
        <v>1929.7297297297284</v>
      </c>
      <c r="N52" s="13">
        <f t="shared" si="3"/>
        <v>148.44074844074834</v>
      </c>
      <c r="O52" s="14">
        <f t="shared" si="4"/>
        <v>0</v>
      </c>
      <c r="P52" s="15">
        <f t="shared" si="5"/>
        <v>-5.405405405405503</v>
      </c>
      <c r="Q52" s="369">
        <f t="shared" si="6"/>
        <v>0.96486486486486422</v>
      </c>
      <c r="R52" s="615"/>
      <c r="S52" s="34">
        <v>0.77916666666666667</v>
      </c>
      <c r="T52" s="34">
        <v>0.80486111111111114</v>
      </c>
      <c r="U52" s="370">
        <f t="shared" si="38"/>
        <v>4.9999999999999822</v>
      </c>
      <c r="V52" s="381">
        <f t="shared" si="37"/>
        <v>37.000000000000028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-70.270270270271567</v>
      </c>
      <c r="AF52" s="369">
        <f t="shared" si="9"/>
        <v>0.96486486486486422</v>
      </c>
      <c r="AG52" s="615"/>
    </row>
    <row r="53" spans="1:33">
      <c r="A53" s="631" t="s">
        <v>1772</v>
      </c>
      <c r="B53" s="29" t="s">
        <v>6</v>
      </c>
      <c r="C53" s="618"/>
      <c r="D53" s="618"/>
      <c r="E53" s="372"/>
      <c r="F53" s="30"/>
      <c r="G53" s="12"/>
      <c r="H53" s="382"/>
      <c r="I53" s="23">
        <v>16.714285714285715</v>
      </c>
      <c r="J53" s="31">
        <v>2000</v>
      </c>
      <c r="K53" s="12">
        <f t="shared" si="1"/>
        <v>119.65811965811965</v>
      </c>
      <c r="L53" s="23">
        <v>16.714285714285715</v>
      </c>
      <c r="M53" s="13">
        <f>AVERAGE(M46:M52)</f>
        <v>1922.0438581765811</v>
      </c>
      <c r="N53" s="12">
        <f t="shared" si="3"/>
        <v>114.99407698492365</v>
      </c>
      <c r="O53" s="14">
        <f t="shared" si="4"/>
        <v>0</v>
      </c>
      <c r="P53" s="15">
        <f t="shared" si="5"/>
        <v>-4.6640426731959934</v>
      </c>
      <c r="Q53" s="369">
        <f t="shared" si="6"/>
        <v>0.96102192908829065</v>
      </c>
      <c r="R53" s="615"/>
      <c r="S53" s="34"/>
      <c r="T53" s="34"/>
      <c r="U53" s="370"/>
      <c r="V53" s="381"/>
      <c r="W53" s="12"/>
      <c r="X53" s="12"/>
      <c r="Y53" s="24">
        <f>SUM(Y46:Y52)</f>
        <v>0</v>
      </c>
      <c r="Z53" s="24">
        <f>SUM(Z46:Z52)</f>
        <v>0</v>
      </c>
      <c r="AA53" s="614"/>
      <c r="AB53" s="614"/>
      <c r="AC53" s="24">
        <v>7</v>
      </c>
      <c r="AD53" s="24">
        <f>SUM(AD46:AD52)</f>
        <v>0</v>
      </c>
      <c r="AE53" s="14">
        <f>M53-J53</f>
        <v>-77.956141823418875</v>
      </c>
      <c r="AF53" s="369">
        <f t="shared" si="9"/>
        <v>0.96102192908829054</v>
      </c>
      <c r="AG53" s="615"/>
    </row>
    <row r="54" spans="1:33" ht="15.75" customHeight="1">
      <c r="A54" s="626" t="s">
        <v>182</v>
      </c>
      <c r="B54" s="382" t="s">
        <v>40</v>
      </c>
      <c r="C54" s="616" t="s">
        <v>49</v>
      </c>
      <c r="D54" s="616"/>
      <c r="E54" s="29">
        <v>34.36</v>
      </c>
      <c r="F54" s="32">
        <v>1608</v>
      </c>
      <c r="G54" s="370">
        <f t="shared" ref="G54:G58" si="40">E54*F54</f>
        <v>55250.879999999997</v>
      </c>
      <c r="H54" s="33" t="s">
        <v>57</v>
      </c>
      <c r="I54" s="380">
        <v>10</v>
      </c>
      <c r="J54" s="31">
        <v>3000</v>
      </c>
      <c r="K54" s="12">
        <f t="shared" si="1"/>
        <v>300</v>
      </c>
      <c r="L54" s="380">
        <v>10</v>
      </c>
      <c r="M54" s="13">
        <f t="shared" ref="M54:M58" si="41">F54/V54*60</f>
        <v>2923.6363636363635</v>
      </c>
      <c r="N54" s="12">
        <f t="shared" si="3"/>
        <v>292.36363636363637</v>
      </c>
      <c r="O54" s="14">
        <f t="shared" si="4"/>
        <v>0</v>
      </c>
      <c r="P54" s="15">
        <f t="shared" si="5"/>
        <v>-7.636363636363626</v>
      </c>
      <c r="Q54" s="369">
        <f t="shared" si="6"/>
        <v>0.9745454545454546</v>
      </c>
      <c r="R54" s="615">
        <f>Q59</f>
        <v>0.96490930935190511</v>
      </c>
      <c r="S54" s="34">
        <v>0.20833333333333334</v>
      </c>
      <c r="T54" s="34">
        <v>0.23125000000000001</v>
      </c>
      <c r="U54" s="370"/>
      <c r="V54" s="381">
        <f t="shared" ref="V54:V58" si="42">(T54-S54)*24*60</f>
        <v>33</v>
      </c>
      <c r="W54" s="16"/>
      <c r="X54" s="16"/>
      <c r="Y54" s="21"/>
      <c r="Z54" s="21"/>
      <c r="AA54" s="617"/>
      <c r="AB54" s="617"/>
      <c r="AC54" s="35">
        <v>5</v>
      </c>
      <c r="AD54" s="18"/>
      <c r="AE54" s="14">
        <f t="shared" ref="AE54:AE65" si="43">M54-J54</f>
        <v>-76.363636363636488</v>
      </c>
      <c r="AF54" s="369">
        <f t="shared" si="9"/>
        <v>0.97454545454545449</v>
      </c>
      <c r="AG54" s="615">
        <f>AF59</f>
        <v>0.96490930935190533</v>
      </c>
    </row>
    <row r="55" spans="1:33" ht="15.75" customHeight="1">
      <c r="A55" s="626" t="s">
        <v>182</v>
      </c>
      <c r="B55" s="382" t="s">
        <v>40</v>
      </c>
      <c r="C55" s="616" t="s">
        <v>50</v>
      </c>
      <c r="D55" s="616"/>
      <c r="E55" s="29">
        <v>34.36</v>
      </c>
      <c r="F55" s="32">
        <v>813</v>
      </c>
      <c r="G55" s="370">
        <f t="shared" si="40"/>
        <v>27934.68</v>
      </c>
      <c r="H55" s="33" t="s">
        <v>57</v>
      </c>
      <c r="I55" s="380">
        <v>10</v>
      </c>
      <c r="J55" s="31">
        <v>3000</v>
      </c>
      <c r="K55" s="12">
        <f t="shared" si="1"/>
        <v>300</v>
      </c>
      <c r="L55" s="380">
        <v>10</v>
      </c>
      <c r="M55" s="13">
        <f t="shared" si="41"/>
        <v>2869.4117647058788</v>
      </c>
      <c r="N55" s="12">
        <f t="shared" si="3"/>
        <v>286.94117647058789</v>
      </c>
      <c r="O55" s="14">
        <f t="shared" si="4"/>
        <v>0</v>
      </c>
      <c r="P55" s="15">
        <f t="shared" si="5"/>
        <v>-13.058823529412109</v>
      </c>
      <c r="Q55" s="369">
        <f t="shared" si="6"/>
        <v>0.95647058823529296</v>
      </c>
      <c r="R55" s="615"/>
      <c r="S55" s="34">
        <v>0.23472222222222222</v>
      </c>
      <c r="T55" s="34">
        <v>0.24652777777777779</v>
      </c>
      <c r="U55" s="370">
        <f t="shared" ref="U55:U58" si="44">(S55-T54)*24*60</f>
        <v>4.9999999999999822</v>
      </c>
      <c r="V55" s="381">
        <f t="shared" si="42"/>
        <v>17.000000000000021</v>
      </c>
      <c r="W55" s="370"/>
      <c r="X55" s="370"/>
      <c r="Y55" s="370"/>
      <c r="Z55" s="370"/>
      <c r="AA55" s="617"/>
      <c r="AB55" s="617"/>
      <c r="AC55" s="35"/>
      <c r="AD55" s="18"/>
      <c r="AE55" s="14">
        <f t="shared" si="43"/>
        <v>-130.5882352941212</v>
      </c>
      <c r="AF55" s="369">
        <f t="shared" si="9"/>
        <v>0.95647058823529296</v>
      </c>
      <c r="AG55" s="615"/>
    </row>
    <row r="56" spans="1:33" ht="15.75" customHeight="1">
      <c r="A56" s="626" t="s">
        <v>182</v>
      </c>
      <c r="B56" s="382" t="s">
        <v>40</v>
      </c>
      <c r="C56" s="616" t="s">
        <v>51</v>
      </c>
      <c r="D56" s="616"/>
      <c r="E56" s="29">
        <v>26.78</v>
      </c>
      <c r="F56" s="32">
        <v>1882</v>
      </c>
      <c r="G56" s="370">
        <f t="shared" si="40"/>
        <v>50399.96</v>
      </c>
      <c r="H56" s="33" t="s">
        <v>57</v>
      </c>
      <c r="I56" s="380">
        <v>10</v>
      </c>
      <c r="J56" s="31">
        <v>3000</v>
      </c>
      <c r="K56" s="12">
        <f t="shared" si="1"/>
        <v>300</v>
      </c>
      <c r="L56" s="380">
        <v>10</v>
      </c>
      <c r="M56" s="13">
        <f t="shared" si="41"/>
        <v>2895.3846153846134</v>
      </c>
      <c r="N56" s="12">
        <f t="shared" si="3"/>
        <v>289.53846153846132</v>
      </c>
      <c r="O56" s="14">
        <f t="shared" si="4"/>
        <v>0</v>
      </c>
      <c r="P56" s="15">
        <f t="shared" si="5"/>
        <v>-10.46153846153868</v>
      </c>
      <c r="Q56" s="369">
        <f t="shared" si="6"/>
        <v>0.96512820512820441</v>
      </c>
      <c r="R56" s="615"/>
      <c r="S56" s="34">
        <v>0.25069444444444444</v>
      </c>
      <c r="T56" s="34">
        <v>0.27777777777777779</v>
      </c>
      <c r="U56" s="370">
        <f t="shared" si="44"/>
        <v>5.9999999999999787</v>
      </c>
      <c r="V56" s="381">
        <f t="shared" si="42"/>
        <v>39.000000000000021</v>
      </c>
      <c r="W56" s="370"/>
      <c r="X56" s="370"/>
      <c r="Y56" s="370"/>
      <c r="Z56" s="370"/>
      <c r="AA56" s="617"/>
      <c r="AB56" s="617"/>
      <c r="AC56" s="35"/>
      <c r="AD56" s="18"/>
      <c r="AE56" s="14">
        <f t="shared" si="43"/>
        <v>-104.61538461538657</v>
      </c>
      <c r="AF56" s="369">
        <f t="shared" si="9"/>
        <v>0.96512820512820452</v>
      </c>
      <c r="AG56" s="615"/>
    </row>
    <row r="57" spans="1:33" ht="15.75" customHeight="1">
      <c r="A57" s="626" t="s">
        <v>1773</v>
      </c>
      <c r="B57" s="382" t="s">
        <v>40</v>
      </c>
      <c r="C57" s="616" t="s">
        <v>52</v>
      </c>
      <c r="D57" s="616"/>
      <c r="E57" s="29">
        <v>35.869999999999997</v>
      </c>
      <c r="F57" s="32">
        <v>2899</v>
      </c>
      <c r="G57" s="370">
        <f t="shared" si="40"/>
        <v>103987.12999999999</v>
      </c>
      <c r="H57" s="33" t="s">
        <v>57</v>
      </c>
      <c r="I57" s="380">
        <v>9</v>
      </c>
      <c r="J57" s="31">
        <v>3000</v>
      </c>
      <c r="K57" s="12">
        <f t="shared" si="1"/>
        <v>333.33333333333331</v>
      </c>
      <c r="L57" s="380">
        <v>9</v>
      </c>
      <c r="M57" s="13">
        <f t="shared" si="41"/>
        <v>2898.9999999999986</v>
      </c>
      <c r="N57" s="12">
        <f t="shared" si="3"/>
        <v>322.11111111111097</v>
      </c>
      <c r="O57" s="14">
        <f t="shared" si="4"/>
        <v>0</v>
      </c>
      <c r="P57" s="15">
        <f t="shared" si="5"/>
        <v>-11.222222222222342</v>
      </c>
      <c r="Q57" s="369">
        <f t="shared" si="6"/>
        <v>0.96633333333333293</v>
      </c>
      <c r="R57" s="615"/>
      <c r="S57" s="34">
        <v>0.28194444444444444</v>
      </c>
      <c r="T57" s="34">
        <v>0.32361111111111113</v>
      </c>
      <c r="U57" s="370">
        <f t="shared" si="44"/>
        <v>5.9999999999999787</v>
      </c>
      <c r="V57" s="381">
        <f t="shared" si="42"/>
        <v>60.000000000000028</v>
      </c>
      <c r="W57" s="370"/>
      <c r="X57" s="370"/>
      <c r="Y57" s="370"/>
      <c r="Z57" s="370"/>
      <c r="AA57" s="617"/>
      <c r="AB57" s="617"/>
      <c r="AC57" s="35"/>
      <c r="AD57" s="18"/>
      <c r="AE57" s="14">
        <f t="shared" si="43"/>
        <v>-101.00000000000136</v>
      </c>
      <c r="AF57" s="369">
        <f t="shared" si="9"/>
        <v>0.96633333333333293</v>
      </c>
      <c r="AG57" s="615"/>
    </row>
    <row r="58" spans="1:33">
      <c r="A58" s="627" t="s">
        <v>182</v>
      </c>
      <c r="B58" s="382" t="s">
        <v>40</v>
      </c>
      <c r="C58" s="616" t="s">
        <v>53</v>
      </c>
      <c r="D58" s="616"/>
      <c r="E58" s="29">
        <v>34.35</v>
      </c>
      <c r="F58" s="32">
        <v>1395</v>
      </c>
      <c r="G58" s="370">
        <f t="shared" si="40"/>
        <v>47918.25</v>
      </c>
      <c r="H58" s="33" t="s">
        <v>57</v>
      </c>
      <c r="I58" s="380">
        <v>8</v>
      </c>
      <c r="J58" s="31">
        <v>3000</v>
      </c>
      <c r="K58" s="12">
        <f t="shared" si="1"/>
        <v>375</v>
      </c>
      <c r="L58" s="380">
        <v>8</v>
      </c>
      <c r="M58" s="13">
        <f t="shared" si="41"/>
        <v>2886.2068965517265</v>
      </c>
      <c r="N58" s="12">
        <f t="shared" si="3"/>
        <v>360.77586206896581</v>
      </c>
      <c r="O58" s="14">
        <f t="shared" si="4"/>
        <v>0</v>
      </c>
      <c r="P58" s="15">
        <f t="shared" si="5"/>
        <v>-14.224137931034193</v>
      </c>
      <c r="Q58" s="369">
        <f t="shared" si="6"/>
        <v>0.96206896551724219</v>
      </c>
      <c r="R58" s="615"/>
      <c r="S58" s="34">
        <v>0.32777777777777778</v>
      </c>
      <c r="T58" s="34">
        <v>0.34791666666666665</v>
      </c>
      <c r="U58" s="370">
        <f t="shared" si="44"/>
        <v>5.9999999999999787</v>
      </c>
      <c r="V58" s="381">
        <f t="shared" si="42"/>
        <v>28.999999999999979</v>
      </c>
      <c r="W58" s="16"/>
      <c r="X58" s="16"/>
      <c r="Y58" s="16"/>
      <c r="Z58" s="16"/>
      <c r="AA58" s="617"/>
      <c r="AB58" s="617"/>
      <c r="AC58" s="35"/>
      <c r="AD58" s="18"/>
      <c r="AE58" s="14">
        <f t="shared" si="43"/>
        <v>-113.79310344827354</v>
      </c>
      <c r="AF58" s="369">
        <f t="shared" si="9"/>
        <v>0.96206896551724219</v>
      </c>
      <c r="AG58" s="615"/>
    </row>
    <row r="59" spans="1:33">
      <c r="A59" s="627" t="s">
        <v>182</v>
      </c>
      <c r="B59" s="29" t="s">
        <v>6</v>
      </c>
      <c r="C59" s="618"/>
      <c r="D59" s="618"/>
      <c r="E59" s="372"/>
      <c r="F59" s="30"/>
      <c r="G59" s="12"/>
      <c r="H59" s="382"/>
      <c r="I59" s="23">
        <v>9.4</v>
      </c>
      <c r="J59" s="31">
        <v>3000</v>
      </c>
      <c r="K59" s="12">
        <f t="shared" si="1"/>
        <v>319.14893617021278</v>
      </c>
      <c r="L59" s="23">
        <v>9.4</v>
      </c>
      <c r="M59" s="13">
        <f>AVERAGE(M54:M58)</f>
        <v>2894.7279280557159</v>
      </c>
      <c r="N59" s="12">
        <f t="shared" si="3"/>
        <v>307.94977958039527</v>
      </c>
      <c r="O59" s="14">
        <f t="shared" si="4"/>
        <v>0</v>
      </c>
      <c r="P59" s="15">
        <f t="shared" si="5"/>
        <v>-11.199156589817505</v>
      </c>
      <c r="Q59" s="369">
        <f t="shared" si="6"/>
        <v>0.96490930935190511</v>
      </c>
      <c r="R59" s="615"/>
      <c r="S59" s="34"/>
      <c r="T59" s="34"/>
      <c r="U59" s="12"/>
      <c r="V59" s="381"/>
      <c r="W59" s="12"/>
      <c r="X59" s="12"/>
      <c r="Y59" s="24">
        <f>SUM(Y54:Y58)</f>
        <v>0</v>
      </c>
      <c r="Z59" s="24">
        <f>SUM(Z54:Z58)</f>
        <v>0</v>
      </c>
      <c r="AA59" s="614"/>
      <c r="AB59" s="614"/>
      <c r="AC59" s="24">
        <v>5</v>
      </c>
      <c r="AD59" s="24">
        <f>SUM(AD54:AD58)</f>
        <v>0</v>
      </c>
      <c r="AE59" s="14">
        <f t="shared" si="43"/>
        <v>-105.27207194428411</v>
      </c>
      <c r="AF59" s="369">
        <f t="shared" si="9"/>
        <v>0.96490930935190533</v>
      </c>
      <c r="AG59" s="615"/>
    </row>
    <row r="60" spans="1:33" ht="15.75" customHeight="1">
      <c r="A60" s="619" t="s">
        <v>1774</v>
      </c>
      <c r="B60" s="382" t="s">
        <v>32</v>
      </c>
      <c r="C60" s="616" t="s">
        <v>56</v>
      </c>
      <c r="D60" s="616"/>
      <c r="E60" s="29">
        <v>19.02</v>
      </c>
      <c r="F60" s="382">
        <v>6743</v>
      </c>
      <c r="G60" s="370">
        <f t="shared" ref="G60:G64" si="45">E60*F60</f>
        <v>128251.86</v>
      </c>
      <c r="H60" s="33" t="s">
        <v>57</v>
      </c>
      <c r="I60" s="380">
        <v>14</v>
      </c>
      <c r="J60" s="31">
        <v>2400</v>
      </c>
      <c r="K60" s="12">
        <f t="shared" si="1"/>
        <v>171.42857142857142</v>
      </c>
      <c r="L60" s="380">
        <v>14</v>
      </c>
      <c r="M60" s="13">
        <f t="shared" ref="M60:M64" si="46">F60/V60*60</f>
        <v>2285.7627118644073</v>
      </c>
      <c r="N60" s="12">
        <f t="shared" si="3"/>
        <v>163.26876513317194</v>
      </c>
      <c r="O60" s="14">
        <f t="shared" si="4"/>
        <v>0</v>
      </c>
      <c r="P60" s="15">
        <f t="shared" si="5"/>
        <v>-8.159806295399477</v>
      </c>
      <c r="Q60" s="369">
        <f t="shared" si="6"/>
        <v>0.95240112994350301</v>
      </c>
      <c r="R60" s="615">
        <f>Q65</f>
        <v>0.95825683401997297</v>
      </c>
      <c r="S60" s="34">
        <v>8.3333333333333329E-2</v>
      </c>
      <c r="T60" s="34">
        <v>0.20624999999999999</v>
      </c>
      <c r="U60" s="21"/>
      <c r="V60" s="381">
        <f t="shared" ref="V60:V64" si="47">(T60-S60)*24*60</f>
        <v>176.99999999999997</v>
      </c>
      <c r="W60" s="16">
        <f>T60</f>
        <v>0.20624999999999999</v>
      </c>
      <c r="X60" s="16">
        <f>S61</f>
        <v>0.22777777777777777</v>
      </c>
      <c r="Y60" s="16"/>
      <c r="Z60" s="16"/>
      <c r="AA60" s="617"/>
      <c r="AB60" s="617"/>
      <c r="AC60" s="35">
        <v>5</v>
      </c>
      <c r="AD60" s="18"/>
      <c r="AE60" s="14">
        <f t="shared" si="43"/>
        <v>-114.23728813559273</v>
      </c>
      <c r="AF60" s="369">
        <f t="shared" si="9"/>
        <v>0.95240112994350301</v>
      </c>
      <c r="AG60" s="615">
        <f>AF65</f>
        <v>0.95825683401997286</v>
      </c>
    </row>
    <row r="61" spans="1:33" ht="15.75" customHeight="1">
      <c r="A61" s="620" t="s">
        <v>14</v>
      </c>
      <c r="B61" s="382" t="s">
        <v>32</v>
      </c>
      <c r="C61" s="616" t="s">
        <v>36</v>
      </c>
      <c r="D61" s="616"/>
      <c r="E61" s="29">
        <v>20.36</v>
      </c>
      <c r="F61" s="382">
        <v>3453</v>
      </c>
      <c r="G61" s="370">
        <f t="shared" si="45"/>
        <v>70303.08</v>
      </c>
      <c r="H61" s="33" t="s">
        <v>57</v>
      </c>
      <c r="I61" s="380">
        <v>17</v>
      </c>
      <c r="J61" s="31">
        <v>2400</v>
      </c>
      <c r="K61" s="12">
        <f t="shared" si="1"/>
        <v>141.1764705882353</v>
      </c>
      <c r="L61" s="380">
        <v>17</v>
      </c>
      <c r="M61" s="13">
        <f t="shared" si="46"/>
        <v>2302.0000000000009</v>
      </c>
      <c r="N61" s="12">
        <f t="shared" si="3"/>
        <v>135.4117647058824</v>
      </c>
      <c r="O61" s="14">
        <f t="shared" si="4"/>
        <v>0</v>
      </c>
      <c r="P61" s="15">
        <f t="shared" si="5"/>
        <v>-5.7647058823528994</v>
      </c>
      <c r="Q61" s="369">
        <f t="shared" si="6"/>
        <v>0.95916666666666694</v>
      </c>
      <c r="R61" s="615"/>
      <c r="S61" s="34">
        <v>0.22777777777777777</v>
      </c>
      <c r="T61" s="34">
        <v>0.29027777777777775</v>
      </c>
      <c r="U61" s="370">
        <f t="shared" ref="U61:U64" si="48">(S61-T60)*24*60</f>
        <v>31.000000000000011</v>
      </c>
      <c r="V61" s="381">
        <f t="shared" si="47"/>
        <v>89.999999999999957</v>
      </c>
      <c r="W61" s="16"/>
      <c r="X61" s="16"/>
      <c r="Y61" s="16"/>
      <c r="Z61" s="16"/>
      <c r="AA61" s="617"/>
      <c r="AB61" s="617"/>
      <c r="AC61" s="35"/>
      <c r="AD61" s="18"/>
      <c r="AE61" s="14">
        <f t="shared" si="43"/>
        <v>-97.999999999999091</v>
      </c>
      <c r="AF61" s="369">
        <f t="shared" si="9"/>
        <v>0.95916666666666706</v>
      </c>
      <c r="AG61" s="615"/>
    </row>
    <row r="62" spans="1:33" ht="15.75" customHeight="1">
      <c r="A62" s="620" t="s">
        <v>14</v>
      </c>
      <c r="B62" s="382" t="s">
        <v>32</v>
      </c>
      <c r="C62" s="616" t="s">
        <v>54</v>
      </c>
      <c r="D62" s="616"/>
      <c r="E62" s="29">
        <v>20.21</v>
      </c>
      <c r="F62" s="382">
        <v>2468</v>
      </c>
      <c r="G62" s="370">
        <f t="shared" si="45"/>
        <v>49878.28</v>
      </c>
      <c r="H62" s="33" t="s">
        <v>57</v>
      </c>
      <c r="I62" s="380">
        <v>15</v>
      </c>
      <c r="J62" s="31">
        <v>2400</v>
      </c>
      <c r="K62" s="12">
        <f t="shared" si="1"/>
        <v>160</v>
      </c>
      <c r="L62" s="380">
        <v>15</v>
      </c>
      <c r="M62" s="13">
        <f t="shared" si="46"/>
        <v>2313.7499999999995</v>
      </c>
      <c r="N62" s="12">
        <f t="shared" si="3"/>
        <v>154.24999999999997</v>
      </c>
      <c r="O62" s="14">
        <f t="shared" si="4"/>
        <v>0</v>
      </c>
      <c r="P62" s="15">
        <f t="shared" si="5"/>
        <v>-5.7500000000000284</v>
      </c>
      <c r="Q62" s="369">
        <f t="shared" si="6"/>
        <v>0.96406249999999982</v>
      </c>
      <c r="R62" s="615"/>
      <c r="S62" s="34">
        <v>0.29374999999999996</v>
      </c>
      <c r="T62" s="34">
        <v>0.33819444444444441</v>
      </c>
      <c r="U62" s="370">
        <f t="shared" si="48"/>
        <v>4.9999999999999822</v>
      </c>
      <c r="V62" s="381">
        <f t="shared" si="47"/>
        <v>64.000000000000014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-86.250000000000455</v>
      </c>
      <c r="AF62" s="369">
        <f t="shared" si="9"/>
        <v>0.96406249999999982</v>
      </c>
      <c r="AG62" s="615"/>
    </row>
    <row r="63" spans="1:33" ht="15.75" customHeight="1">
      <c r="A63" s="620" t="s">
        <v>14</v>
      </c>
      <c r="B63" s="382" t="s">
        <v>32</v>
      </c>
      <c r="C63" s="616" t="s">
        <v>55</v>
      </c>
      <c r="D63" s="616"/>
      <c r="E63" s="29">
        <v>22.69</v>
      </c>
      <c r="F63" s="382">
        <v>2572</v>
      </c>
      <c r="G63" s="370">
        <f t="shared" si="45"/>
        <v>58358.68</v>
      </c>
      <c r="H63" s="33" t="s">
        <v>57</v>
      </c>
      <c r="I63" s="380">
        <v>15</v>
      </c>
      <c r="J63" s="31">
        <v>2400</v>
      </c>
      <c r="K63" s="12">
        <f t="shared" si="1"/>
        <v>160</v>
      </c>
      <c r="L63" s="380">
        <v>15</v>
      </c>
      <c r="M63" s="13">
        <f t="shared" si="46"/>
        <v>2303.2835820895521</v>
      </c>
      <c r="N63" s="12">
        <f t="shared" si="3"/>
        <v>153.55223880597015</v>
      </c>
      <c r="O63" s="14">
        <f t="shared" si="4"/>
        <v>0</v>
      </c>
      <c r="P63" s="15">
        <f t="shared" si="5"/>
        <v>-6.4477611940298516</v>
      </c>
      <c r="Q63" s="369">
        <f t="shared" si="6"/>
        <v>0.95970149253731341</v>
      </c>
      <c r="R63" s="615"/>
      <c r="S63" s="34">
        <v>0.3430555555555555</v>
      </c>
      <c r="T63" s="34">
        <v>0.38958333333333328</v>
      </c>
      <c r="U63" s="370">
        <f t="shared" si="48"/>
        <v>6.9999999999999751</v>
      </c>
      <c r="V63" s="381">
        <f t="shared" si="47"/>
        <v>67</v>
      </c>
      <c r="W63" s="16"/>
      <c r="X63" s="16"/>
      <c r="Y63" s="16"/>
      <c r="Z63" s="16"/>
      <c r="AA63" s="617"/>
      <c r="AB63" s="617"/>
      <c r="AC63" s="35"/>
      <c r="AD63" s="18"/>
      <c r="AE63" s="14">
        <f t="shared" si="43"/>
        <v>-96.716417910447944</v>
      </c>
      <c r="AF63" s="369">
        <f t="shared" si="9"/>
        <v>0.95970149253731341</v>
      </c>
      <c r="AG63" s="615"/>
    </row>
    <row r="64" spans="1:33" ht="15.75" customHeight="1">
      <c r="A64" s="620" t="s">
        <v>14</v>
      </c>
      <c r="B64" s="382" t="s">
        <v>32</v>
      </c>
      <c r="C64" s="616" t="s">
        <v>949</v>
      </c>
      <c r="D64" s="616"/>
      <c r="E64" s="29">
        <v>25.98</v>
      </c>
      <c r="F64" s="382">
        <v>5621</v>
      </c>
      <c r="G64" s="370">
        <f t="shared" si="45"/>
        <v>146033.58000000002</v>
      </c>
      <c r="H64" s="33" t="s">
        <v>57</v>
      </c>
      <c r="I64" s="380">
        <v>17</v>
      </c>
      <c r="J64" s="31">
        <v>2400</v>
      </c>
      <c r="K64" s="12">
        <f t="shared" si="1"/>
        <v>141.1764705882353</v>
      </c>
      <c r="L64" s="380">
        <v>17</v>
      </c>
      <c r="M64" s="13">
        <f t="shared" si="46"/>
        <v>2294.2857142857142</v>
      </c>
      <c r="N64" s="12">
        <f t="shared" si="3"/>
        <v>134.9579831932773</v>
      </c>
      <c r="O64" s="14">
        <f t="shared" si="4"/>
        <v>0</v>
      </c>
      <c r="P64" s="15">
        <f t="shared" si="5"/>
        <v>-6.2184873949580037</v>
      </c>
      <c r="Q64" s="369">
        <f t="shared" si="6"/>
        <v>0.95595238095238078</v>
      </c>
      <c r="R64" s="615"/>
      <c r="S64" s="34">
        <v>0.39513888888888882</v>
      </c>
      <c r="T64" s="34">
        <v>0.49722222222222218</v>
      </c>
      <c r="U64" s="370">
        <f t="shared" si="48"/>
        <v>7.9999999999999716</v>
      </c>
      <c r="V64" s="381">
        <f t="shared" si="47"/>
        <v>147.00000000000003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-105.71428571428578</v>
      </c>
      <c r="AF64" s="369">
        <f t="shared" si="9"/>
        <v>0.95595238095238089</v>
      </c>
      <c r="AG64" s="615"/>
    </row>
    <row r="65" spans="1:33" ht="16.5" customHeight="1">
      <c r="A65" s="621" t="s">
        <v>14</v>
      </c>
      <c r="B65" s="29" t="s">
        <v>6</v>
      </c>
      <c r="C65" s="612"/>
      <c r="D65" s="613"/>
      <c r="E65" s="372"/>
      <c r="F65" s="30"/>
      <c r="G65" s="12"/>
      <c r="H65" s="382"/>
      <c r="I65" s="23">
        <v>15.6</v>
      </c>
      <c r="J65" s="31">
        <v>2400</v>
      </c>
      <c r="K65" s="12">
        <f t="shared" si="1"/>
        <v>153.84615384615384</v>
      </c>
      <c r="L65" s="23">
        <v>15.6</v>
      </c>
      <c r="M65" s="13">
        <f>AVERAGE(M60:M64)</f>
        <v>2299.816401647935</v>
      </c>
      <c r="N65" s="12">
        <f t="shared" si="3"/>
        <v>147.42412831076507</v>
      </c>
      <c r="O65" s="14">
        <f t="shared" si="4"/>
        <v>0</v>
      </c>
      <c r="P65" s="15">
        <f t="shared" si="5"/>
        <v>-6.4220255353887694</v>
      </c>
      <c r="Q65" s="369">
        <f t="shared" si="6"/>
        <v>0.95825683401997297</v>
      </c>
      <c r="R65" s="615"/>
      <c r="S65" s="34"/>
      <c r="T65" s="34"/>
      <c r="U65" s="12"/>
      <c r="V65" s="381"/>
      <c r="W65" s="12"/>
      <c r="X65" s="12"/>
      <c r="Y65" s="24">
        <f>SUM(Y60:Y64)</f>
        <v>0</v>
      </c>
      <c r="Z65" s="24">
        <f>SUM(Z60:Z64)</f>
        <v>0</v>
      </c>
      <c r="AA65" s="614"/>
      <c r="AB65" s="614"/>
      <c r="AC65" s="24">
        <v>5</v>
      </c>
      <c r="AD65" s="24">
        <f>SUM(AD60:AD64)</f>
        <v>0</v>
      </c>
      <c r="AE65" s="14">
        <f t="shared" si="43"/>
        <v>-100.18359835206502</v>
      </c>
      <c r="AF65" s="369">
        <f t="shared" si="9"/>
        <v>0.95825683401997286</v>
      </c>
      <c r="AG65" s="615"/>
    </row>
    <row r="66" spans="1:33">
      <c r="D66" s="25"/>
      <c r="E66" s="25"/>
    </row>
  </sheetData>
  <mergeCells count="179"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0:A65"/>
    <mergeCell ref="C60:D60"/>
    <mergeCell ref="R60:R65"/>
    <mergeCell ref="AA60:AB60"/>
    <mergeCell ref="AA65:AB65"/>
    <mergeCell ref="A54:A59"/>
    <mergeCell ref="C54:D54"/>
    <mergeCell ref="R54:R59"/>
    <mergeCell ref="AA54:AB54"/>
    <mergeCell ref="AG54:AG59"/>
    <mergeCell ref="C55:D55"/>
    <mergeCell ref="AA55:AB55"/>
    <mergeCell ref="C56:D56"/>
    <mergeCell ref="AA56:AB56"/>
    <mergeCell ref="C57:D57"/>
    <mergeCell ref="AA50:AB50"/>
    <mergeCell ref="C51:D51"/>
    <mergeCell ref="AA51:AB51"/>
    <mergeCell ref="C52:D52"/>
    <mergeCell ref="AA52:AB52"/>
    <mergeCell ref="C53:D53"/>
    <mergeCell ref="AA53:AB53"/>
    <mergeCell ref="AA57:AB57"/>
    <mergeCell ref="C58:D58"/>
    <mergeCell ref="AA58:AB58"/>
    <mergeCell ref="C59:D59"/>
    <mergeCell ref="AA59:AB59"/>
    <mergeCell ref="A46:A53"/>
    <mergeCell ref="C46:D46"/>
    <mergeCell ref="R46:R53"/>
    <mergeCell ref="AA46:AB46"/>
    <mergeCell ref="AG46:AG53"/>
    <mergeCell ref="C47:D47"/>
    <mergeCell ref="AA47:AB47"/>
    <mergeCell ref="C48:D48"/>
    <mergeCell ref="AA48:AB48"/>
    <mergeCell ref="AA49:AB49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0:D40"/>
    <mergeCell ref="AA40:AB40"/>
    <mergeCell ref="A41:A45"/>
    <mergeCell ref="C41:D41"/>
    <mergeCell ref="R41:R45"/>
    <mergeCell ref="AA41:AB41"/>
    <mergeCell ref="A35:A40"/>
    <mergeCell ref="C35:D35"/>
    <mergeCell ref="R35:R40"/>
    <mergeCell ref="AA35:AB35"/>
    <mergeCell ref="A29:A34"/>
    <mergeCell ref="C29:D29"/>
    <mergeCell ref="R29:R34"/>
    <mergeCell ref="AA29:AB29"/>
    <mergeCell ref="AA34:AB34"/>
    <mergeCell ref="AG35:AG40"/>
    <mergeCell ref="C36:D36"/>
    <mergeCell ref="AA36:AB36"/>
    <mergeCell ref="C37:D37"/>
    <mergeCell ref="AA37:AB37"/>
    <mergeCell ref="C38:D38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8:AB38"/>
    <mergeCell ref="C39:D39"/>
    <mergeCell ref="AA39:AB39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3:O54 O57:O65 O5:O9 O12:O14 O20:O51">
    <cfRule type="cellIs" dxfId="1250" priority="48" operator="greaterThan">
      <formula>0</formula>
    </cfRule>
  </conditionalFormatting>
  <conditionalFormatting sqref="P5:P7 P57:P58 AE57:AE58 P60:P64 P29:P33 P54 P9 P12:P14 P21:P27 P46:P51 P35:P44 AE5:AE54 AE60:AE65">
    <cfRule type="cellIs" dxfId="1249" priority="52" operator="lessThan">
      <formula>0</formula>
    </cfRule>
  </conditionalFormatting>
  <conditionalFormatting sqref="AF57:AF58 Q53:Q54 Q57:Q65 Q5:Q9 Q12:Q14 Q20:Q51 AF5:AF54 AF60:AF65">
    <cfRule type="cellIs" dxfId="1248" priority="49" operator="greaterThan">
      <formula>1</formula>
    </cfRule>
    <cfRule type="cellIs" dxfId="1247" priority="50" operator="lessThan">
      <formula>0.8</formula>
    </cfRule>
  </conditionalFormatting>
  <conditionalFormatting sqref="AG13:AG14 R13:R14 AG57 R20:R26 AG20:AG26 AG53:AG54 R53:R54 R57:R65 AG5:AG9 R5:R9 AG28:AG51 R28:R51">
    <cfRule type="cellIs" dxfId="1246" priority="54" operator="lessThan">
      <formula>0.8</formula>
    </cfRule>
  </conditionalFormatting>
  <conditionalFormatting sqref="AG41">
    <cfRule type="cellIs" dxfId="1245" priority="56" operator="lessThan">
      <formula>0.8</formula>
    </cfRule>
  </conditionalFormatting>
  <conditionalFormatting sqref="AG21:AG26">
    <cfRule type="cellIs" dxfId="1244" priority="53" operator="lessThan">
      <formula>0.8</formula>
    </cfRule>
  </conditionalFormatting>
  <conditionalFormatting sqref="AG29">
    <cfRule type="cellIs" dxfId="1243" priority="55" operator="lessThan">
      <formula>0.8</formula>
    </cfRule>
  </conditionalFormatting>
  <conditionalFormatting sqref="AG35:AG39">
    <cfRule type="cellIs" dxfId="1242" priority="51" operator="lessThan">
      <formula>0.8</formula>
    </cfRule>
  </conditionalFormatting>
  <conditionalFormatting sqref="AE59">
    <cfRule type="cellIs" dxfId="1241" priority="47" operator="lessThan">
      <formula>0</formula>
    </cfRule>
  </conditionalFormatting>
  <conditionalFormatting sqref="AF59">
    <cfRule type="cellIs" dxfId="1240" priority="45" operator="greaterThan">
      <formula>1</formula>
    </cfRule>
    <cfRule type="cellIs" dxfId="1239" priority="46" operator="lessThan">
      <formula>0.8</formula>
    </cfRule>
  </conditionalFormatting>
  <conditionalFormatting sqref="O15:O16">
    <cfRule type="cellIs" dxfId="1238" priority="40" operator="greaterThan">
      <formula>0</formula>
    </cfRule>
  </conditionalFormatting>
  <conditionalFormatting sqref="P15:P16">
    <cfRule type="cellIs" dxfId="1237" priority="43" operator="lessThan">
      <formula>0</formula>
    </cfRule>
  </conditionalFormatting>
  <conditionalFormatting sqref="Q15:Q16">
    <cfRule type="cellIs" dxfId="1236" priority="41" operator="greaterThan">
      <formula>1</formula>
    </cfRule>
    <cfRule type="cellIs" dxfId="1235" priority="42" operator="lessThan">
      <formula>0.8</formula>
    </cfRule>
  </conditionalFormatting>
  <conditionalFormatting sqref="R15:R16 AG15:AG16">
    <cfRule type="cellIs" dxfId="1234" priority="44" operator="lessThan">
      <formula>0.8</formula>
    </cfRule>
  </conditionalFormatting>
  <conditionalFormatting sqref="O10:O11">
    <cfRule type="cellIs" dxfId="1233" priority="36" operator="greaterThan">
      <formula>0</formula>
    </cfRule>
  </conditionalFormatting>
  <conditionalFormatting sqref="P10:P11">
    <cfRule type="cellIs" dxfId="1232" priority="39" operator="lessThan">
      <formula>0</formula>
    </cfRule>
  </conditionalFormatting>
  <conditionalFormatting sqref="Q10:Q11">
    <cfRule type="cellIs" dxfId="1231" priority="37" operator="greaterThan">
      <formula>1</formula>
    </cfRule>
    <cfRule type="cellIs" dxfId="1230" priority="38" operator="lessThan">
      <formula>0.8</formula>
    </cfRule>
  </conditionalFormatting>
  <conditionalFormatting sqref="O52">
    <cfRule type="cellIs" dxfId="1229" priority="31" operator="greaterThan">
      <formula>0</formula>
    </cfRule>
  </conditionalFormatting>
  <conditionalFormatting sqref="P52">
    <cfRule type="cellIs" dxfId="1228" priority="34" operator="lessThan">
      <formula>0</formula>
    </cfRule>
  </conditionalFormatting>
  <conditionalFormatting sqref="Q52">
    <cfRule type="cellIs" dxfId="1227" priority="32" operator="greaterThan">
      <formula>1</formula>
    </cfRule>
    <cfRule type="cellIs" dxfId="1226" priority="33" operator="lessThan">
      <formula>0.8</formula>
    </cfRule>
  </conditionalFormatting>
  <conditionalFormatting sqref="R52 AG52">
    <cfRule type="cellIs" dxfId="1225" priority="35" operator="lessThan">
      <formula>0.8</formula>
    </cfRule>
  </conditionalFormatting>
  <conditionalFormatting sqref="O56">
    <cfRule type="cellIs" dxfId="1224" priority="26" operator="greaterThan">
      <formula>0</formula>
    </cfRule>
  </conditionalFormatting>
  <conditionalFormatting sqref="P56 AE56">
    <cfRule type="cellIs" dxfId="1223" priority="29" operator="lessThan">
      <formula>0</formula>
    </cfRule>
  </conditionalFormatting>
  <conditionalFormatting sqref="Q56 AF56">
    <cfRule type="cellIs" dxfId="1222" priority="27" operator="greaterThan">
      <formula>1</formula>
    </cfRule>
    <cfRule type="cellIs" dxfId="1221" priority="28" operator="lessThan">
      <formula>0.8</formula>
    </cfRule>
  </conditionalFormatting>
  <conditionalFormatting sqref="R56 AG56">
    <cfRule type="cellIs" dxfId="1220" priority="30" operator="lessThan">
      <formula>0.8</formula>
    </cfRule>
  </conditionalFormatting>
  <conditionalFormatting sqref="O17:O18">
    <cfRule type="cellIs" dxfId="1219" priority="21" operator="greaterThan">
      <formula>0</formula>
    </cfRule>
  </conditionalFormatting>
  <conditionalFormatting sqref="P17:P18">
    <cfRule type="cellIs" dxfId="1218" priority="24" operator="lessThan">
      <formula>0</formula>
    </cfRule>
  </conditionalFormatting>
  <conditionalFormatting sqref="Q17:Q18">
    <cfRule type="cellIs" dxfId="1217" priority="22" operator="greaterThan">
      <formula>1</formula>
    </cfRule>
    <cfRule type="cellIs" dxfId="1216" priority="23" operator="lessThan">
      <formula>0.8</formula>
    </cfRule>
  </conditionalFormatting>
  <conditionalFormatting sqref="R17:R18 AG17:AG18">
    <cfRule type="cellIs" dxfId="1215" priority="25" operator="lessThan">
      <formula>0.8</formula>
    </cfRule>
  </conditionalFormatting>
  <conditionalFormatting sqref="R27 AG27">
    <cfRule type="cellIs" dxfId="1214" priority="20" operator="lessThan">
      <formula>0.8</formula>
    </cfRule>
  </conditionalFormatting>
  <conditionalFormatting sqref="AG27">
    <cfRule type="cellIs" dxfId="1213" priority="19" operator="lessThan">
      <formula>0.8</formula>
    </cfRule>
  </conditionalFormatting>
  <conditionalFormatting sqref="O55">
    <cfRule type="cellIs" dxfId="1212" priority="14" operator="greaterThan">
      <formula>0</formula>
    </cfRule>
  </conditionalFormatting>
  <conditionalFormatting sqref="P55 AE55">
    <cfRule type="cellIs" dxfId="1211" priority="17" operator="lessThan">
      <formula>0</formula>
    </cfRule>
  </conditionalFormatting>
  <conditionalFormatting sqref="Q55 AF55">
    <cfRule type="cellIs" dxfId="1210" priority="15" operator="greaterThan">
      <formula>1</formula>
    </cfRule>
    <cfRule type="cellIs" dxfId="1209" priority="16" operator="lessThan">
      <formula>0.8</formula>
    </cfRule>
  </conditionalFormatting>
  <conditionalFormatting sqref="R55 AG55">
    <cfRule type="cellIs" dxfId="1208" priority="18" operator="lessThan">
      <formula>0.8</formula>
    </cfRule>
  </conditionalFormatting>
  <conditionalFormatting sqref="O19">
    <cfRule type="cellIs" dxfId="1207" priority="9" operator="greaterThan">
      <formula>0</formula>
    </cfRule>
  </conditionalFormatting>
  <conditionalFormatting sqref="P19">
    <cfRule type="cellIs" dxfId="1206" priority="12" operator="lessThan">
      <formula>0</formula>
    </cfRule>
  </conditionalFormatting>
  <conditionalFormatting sqref="Q19">
    <cfRule type="cellIs" dxfId="1205" priority="10" operator="greaterThan">
      <formula>1</formula>
    </cfRule>
    <cfRule type="cellIs" dxfId="1204" priority="11" operator="lessThan">
      <formula>0.8</formula>
    </cfRule>
  </conditionalFormatting>
  <conditionalFormatting sqref="AG19 R19">
    <cfRule type="cellIs" dxfId="1203" priority="13" operator="lessThan">
      <formula>0.8</formula>
    </cfRule>
  </conditionalFormatting>
  <conditionalFormatting sqref="P8">
    <cfRule type="cellIs" dxfId="1202" priority="8" operator="lessThan">
      <formula>0</formula>
    </cfRule>
  </conditionalFormatting>
  <conditionalFormatting sqref="P20">
    <cfRule type="cellIs" dxfId="1201" priority="7" operator="lessThan">
      <formula>0</formula>
    </cfRule>
  </conditionalFormatting>
  <conditionalFormatting sqref="P28">
    <cfRule type="cellIs" dxfId="1200" priority="6" operator="lessThan">
      <formula>0</formula>
    </cfRule>
  </conditionalFormatting>
  <conditionalFormatting sqref="P34">
    <cfRule type="cellIs" dxfId="1199" priority="5" operator="lessThan">
      <formula>0</formula>
    </cfRule>
  </conditionalFormatting>
  <conditionalFormatting sqref="P45">
    <cfRule type="cellIs" dxfId="1198" priority="4" operator="lessThan">
      <formula>0</formula>
    </cfRule>
  </conditionalFormatting>
  <conditionalFormatting sqref="P53">
    <cfRule type="cellIs" dxfId="1197" priority="3" operator="lessThan">
      <formula>0</formula>
    </cfRule>
  </conditionalFormatting>
  <conditionalFormatting sqref="P59">
    <cfRule type="cellIs" dxfId="1196" priority="2" operator="lessThan">
      <formula>0</formula>
    </cfRule>
  </conditionalFormatting>
  <conditionalFormatting sqref="P65">
    <cfRule type="cellIs" dxfId="1195" priority="1" operator="lessThan">
      <formula>0</formula>
    </cfRule>
  </conditionalFormatting>
  <dataValidations count="1">
    <dataValidation type="list" allowBlank="1" showInputMessage="1" showErrorMessage="1" sqref="AB8 AA5:AB7 AB58 AA8:AA58 AB10:AB54 AA59:AB6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3" sqref="A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1576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1577</v>
      </c>
      <c r="C3" s="601" t="str">
        <f>TEXT('0618 4度C'!A2,"yyyy.mm.ddaaaa")</f>
        <v>2026.06.18星期四</v>
      </c>
      <c r="D3" s="602"/>
      <c r="E3" s="39" t="s">
        <v>1578</v>
      </c>
      <c r="F3" s="603">
        <f>'0618 4度C'!D1</f>
        <v>133703</v>
      </c>
      <c r="G3" s="604"/>
      <c r="H3" s="39" t="s">
        <v>1579</v>
      </c>
      <c r="I3" s="605">
        <f>'0618 4度C'!F1</f>
        <v>4601753.6199999982</v>
      </c>
      <c r="J3" s="606"/>
      <c r="K3" s="40"/>
      <c r="L3" s="41"/>
      <c r="M3" s="42"/>
      <c r="N3" s="42"/>
    </row>
    <row r="4" spans="2:17" ht="28.5" customHeight="1">
      <c r="B4" s="607" t="s">
        <v>1580</v>
      </c>
      <c r="C4" s="593" t="s">
        <v>1581</v>
      </c>
      <c r="D4" s="594"/>
      <c r="E4" s="610" t="s">
        <v>1582</v>
      </c>
      <c r="F4" s="611"/>
      <c r="G4" s="610" t="s">
        <v>1583</v>
      </c>
      <c r="H4" s="611"/>
      <c r="I4" s="610" t="s">
        <v>1584</v>
      </c>
      <c r="J4" s="611"/>
      <c r="K4" s="591" t="s">
        <v>1585</v>
      </c>
      <c r="L4" s="592"/>
      <c r="M4" s="592" t="s">
        <v>1586</v>
      </c>
      <c r="N4" s="592"/>
    </row>
    <row r="5" spans="2:17" ht="28.5" customHeight="1">
      <c r="B5" s="608"/>
      <c r="C5" s="593" t="s">
        <v>1587</v>
      </c>
      <c r="D5" s="594"/>
      <c r="E5" s="593" t="s">
        <v>1588</v>
      </c>
      <c r="F5" s="594"/>
      <c r="G5" s="595" t="s">
        <v>1589</v>
      </c>
      <c r="H5" s="596"/>
      <c r="I5" s="597" t="s">
        <v>1590</v>
      </c>
      <c r="J5" s="598"/>
      <c r="K5" s="43" t="s">
        <v>1591</v>
      </c>
      <c r="L5" s="44" t="s">
        <v>1592</v>
      </c>
      <c r="M5" s="43" t="s">
        <v>294</v>
      </c>
      <c r="N5" s="44" t="s">
        <v>1593</v>
      </c>
    </row>
    <row r="6" spans="2:17" ht="28.5" customHeight="1">
      <c r="B6" s="608"/>
      <c r="C6" s="593" t="s">
        <v>58</v>
      </c>
      <c r="D6" s="594"/>
      <c r="E6" s="585">
        <f>AVERAGE(D13:M13)</f>
        <v>153.25906104019904</v>
      </c>
      <c r="F6" s="586">
        <f>AVERAGE(D31:O31,D13:J13)</f>
        <v>159.25216119863742</v>
      </c>
      <c r="G6" s="587">
        <f>AVERAGE(D13:J13)</f>
        <v>159.25216119863742</v>
      </c>
      <c r="H6" s="588"/>
      <c r="I6" s="587">
        <f>AVERAGE(K13:M13)</f>
        <v>139.27516067050951</v>
      </c>
      <c r="J6" s="588"/>
      <c r="K6" s="589">
        <f>'0618 4度C'!Y2</f>
        <v>0</v>
      </c>
      <c r="L6" s="574">
        <f>'0618 4度C'!Z2</f>
        <v>0</v>
      </c>
      <c r="M6" s="590">
        <f>'0618 4度C'!AC2</f>
        <v>51</v>
      </c>
      <c r="N6" s="574">
        <f>'0618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147.16198384583612</v>
      </c>
      <c r="F7" s="578">
        <f>AVERAGE(D32:O32,D14:J14)</f>
        <v>153.24672559387878</v>
      </c>
      <c r="G7" s="579">
        <f>AVERAGE(D14:J14)</f>
        <v>153.24672559387878</v>
      </c>
      <c r="H7" s="580"/>
      <c r="I7" s="579">
        <f>AVERAGE(K14:M14)</f>
        <v>132.96425310040328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0.95981867021033318</v>
      </c>
      <c r="F8" s="582">
        <f>AVERAGE(D15:J15,D33:O33)</f>
        <v>0.96200899844936583</v>
      </c>
      <c r="G8" s="583">
        <f>AVERAGE(D15:J15)</f>
        <v>0.96200899844936583</v>
      </c>
      <c r="H8" s="584"/>
      <c r="I8" s="583">
        <f>AVERAGE(K15:M15)</f>
        <v>0.95470790431925734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1594</v>
      </c>
      <c r="N9" s="42"/>
      <c r="O9" s="42"/>
      <c r="P9" s="42"/>
      <c r="Q9" s="42"/>
    </row>
    <row r="10" spans="2:17" ht="30" customHeight="1">
      <c r="B10" s="557" t="s">
        <v>1595</v>
      </c>
      <c r="C10" s="558"/>
      <c r="D10" s="559" t="s">
        <v>1596</v>
      </c>
      <c r="E10" s="560"/>
      <c r="F10" s="560"/>
      <c r="G10" s="560"/>
      <c r="H10" s="560"/>
      <c r="I10" s="560"/>
      <c r="J10" s="561"/>
      <c r="K10" s="562" t="s">
        <v>1597</v>
      </c>
      <c r="L10" s="563"/>
      <c r="M10" s="564"/>
      <c r="P10" s="48"/>
      <c r="Q10" s="48"/>
    </row>
    <row r="11" spans="2:17" ht="17.25" customHeight="1">
      <c r="B11" s="565" t="s">
        <v>1598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1599</v>
      </c>
      <c r="C13" s="55" t="s">
        <v>1600</v>
      </c>
      <c r="D13" s="56">
        <f>SUMIFS('0618 4度C'!$K:$K,'0618 4度C'!$A:$A,"新豐6線",'0618 4度C'!$B:$B,"平均")</f>
        <v>130.43478260869566</v>
      </c>
      <c r="E13" s="57">
        <f>SUMIFS('0618 4度C'!$K:$K,'0618 4度C'!$A:$A,"新豐2線",'0618 4度C'!$B:$B,"平均")</f>
        <v>86.538461538461547</v>
      </c>
      <c r="F13" s="58">
        <f>SUMIFS('0618 4度C'!$K:$K,'0618 4度C'!$A:$A,"新豐5線",'0618 4度C'!$B:$B,"平均")</f>
        <v>87.786259541984734</v>
      </c>
      <c r="G13" s="58">
        <f>SUMIFS('0618 4度C'!$K:$K,'0618 4度C'!$A:$A,"新豐7線",'0618 4度C'!$B:$B,"平均")</f>
        <v>115.38461538461539</v>
      </c>
      <c r="H13" s="58">
        <f>SUMIFS('0618 4度C'!$K:$K,'0618 4度C'!$A:$A,"新豐3線",'0618 4度C'!$B:$B,"平均")</f>
        <v>255.81395348837211</v>
      </c>
      <c r="I13" s="58">
        <f>SUMIFS('0618 4度C'!$K:$K,'0618 4度C'!$A:$A,"新豐1線",'0618 4度C'!$B:$B,"平均")</f>
        <v>119.65811965811965</v>
      </c>
      <c r="J13" s="59">
        <f>SUMIFS('0618 4度C'!$K:$K,'0618 4度C'!$A:$A,"新豐10線",'0618 4度C'!$B:$B,"平均")</f>
        <v>319.14893617021278</v>
      </c>
      <c r="K13" s="60">
        <f>SUMIFS('0618 4度C'!$K:$K,'0618 4度C'!$A:$A,"新豐8線",'0618 4度C'!$B:$B,"平均")</f>
        <v>139.53488372093022</v>
      </c>
      <c r="L13" s="61">
        <f>SUMIFS('0618 4度C'!$K:$K,'0618 4度C'!$A:$A,"新豐9線",'0618 4度C'!$B:$B,"平均")</f>
        <v>124.44444444444444</v>
      </c>
      <c r="M13" s="59">
        <f>SUMIFS('0618 4度C'!$K:$K,'0618 4度C'!$A:$A,"新豐4線",'0618 4度C'!$B:$B,"平均")</f>
        <v>153.84615384615384</v>
      </c>
    </row>
    <row r="14" spans="2:17" ht="39.6" customHeight="1">
      <c r="B14" s="570"/>
      <c r="C14" s="62" t="s">
        <v>1601</v>
      </c>
      <c r="D14" s="63">
        <f>SUMIFS('0618 4度C'!$N:$N,'0618 4度C'!$A:$A,"新豐6線",'0618 4度C'!$B:$B,"平均")</f>
        <v>126.12826086956508</v>
      </c>
      <c r="E14" s="64">
        <f>SUMIFS('0618 4度C'!$N:$N,'0618 4度C'!$A:$A,"新豐2線",'0618 4度C'!$B:$B,"平均")</f>
        <v>82.626764220007416</v>
      </c>
      <c r="F14" s="64">
        <f>SUMIFS('0618 4度C'!$N:$N,'0618 4度C'!$A:$A,"新豐5線",'0618 4度C'!$B:$B,"平均")</f>
        <v>84.614787371374433</v>
      </c>
      <c r="G14" s="64">
        <f>SUMIFS('0618 4度C'!$N:$N,'0618 4度C'!$A:$A,"新豐7線",'0618 4度C'!$B:$B,"平均")</f>
        <v>110.85641828016738</v>
      </c>
      <c r="H14" s="64">
        <f>SUMIFS('0618 4度C'!$N:$N,'0618 4度C'!$A:$A,"新豐3線",'0618 4度C'!$B:$B,"平均")</f>
        <v>244.32085268560289</v>
      </c>
      <c r="I14" s="64">
        <f>SUMIFS('0618 4度C'!$N:$N,'0618 4度C'!$A:$A,"新豐1線",'0618 4度C'!$B:$B,"平均")</f>
        <v>115.52552295079764</v>
      </c>
      <c r="J14" s="65">
        <f>SUMIFS('0618 4度C'!$N:$N,'0618 4度C'!$A:$A,"新豐10線",'0618 4度C'!$B:$B,"平均")</f>
        <v>308.65447277963665</v>
      </c>
      <c r="K14" s="66">
        <f>SUMIFS('0618 4度C'!$N:$N,'0618 4度C'!$A:$A,"新豐8線",'0618 4度C'!$B:$B,"平均")</f>
        <v>133.27954719607359</v>
      </c>
      <c r="L14" s="67">
        <f>SUMIFS('0618 4度C'!$N:$N,'0618 4度C'!$A:$A,"新豐9線",'0618 4度C'!$B:$B,"平均")</f>
        <v>118.81620672102463</v>
      </c>
      <c r="M14" s="65">
        <f>SUMIFS('0618 4度C'!$N:$N,'0618 4度C'!$A:$A,"新豐4線",'0618 4度C'!$B:$B,"平均")</f>
        <v>146.79700538411157</v>
      </c>
    </row>
    <row r="15" spans="2:17" ht="40.15" customHeight="1">
      <c r="B15" s="571"/>
      <c r="C15" s="68" t="s">
        <v>1602</v>
      </c>
      <c r="D15" s="69">
        <f t="shared" ref="D15:M15" si="0">D14/D13</f>
        <v>0.96698333333333231</v>
      </c>
      <c r="E15" s="70">
        <f t="shared" si="0"/>
        <v>0.95479816432008557</v>
      </c>
      <c r="F15" s="70">
        <f t="shared" si="0"/>
        <v>0.96387279527391745</v>
      </c>
      <c r="G15" s="70">
        <f t="shared" si="0"/>
        <v>0.96075562509478385</v>
      </c>
      <c r="H15" s="70">
        <f t="shared" si="0"/>
        <v>0.95507242413462945</v>
      </c>
      <c r="I15" s="70">
        <f t="shared" si="0"/>
        <v>0.96546329894595173</v>
      </c>
      <c r="J15" s="71">
        <f t="shared" si="0"/>
        <v>0.96711734804286142</v>
      </c>
      <c r="K15" s="69">
        <f t="shared" si="0"/>
        <v>0.95517008823852745</v>
      </c>
      <c r="L15" s="70">
        <f t="shared" si="0"/>
        <v>0.9547730897225194</v>
      </c>
      <c r="M15" s="71">
        <f t="shared" si="0"/>
        <v>0.95418053499672528</v>
      </c>
    </row>
    <row r="16" spans="2:17" ht="17.25" customHeight="1">
      <c r="B16" s="572" t="s">
        <v>1603</v>
      </c>
      <c r="C16" s="72" t="s">
        <v>1604</v>
      </c>
      <c r="D16" s="73">
        <f>VLOOKUP("新豐6線",'0618 4度C'!$A:$T,19,0)</f>
        <v>0.70833333333333337</v>
      </c>
      <c r="E16" s="74">
        <f>VLOOKUP("新豐2線",'0618 4度C'!$A:$T,19,0)</f>
        <v>8.3333333333333329E-2</v>
      </c>
      <c r="F16" s="74">
        <f>VLOOKUP("新豐5線",'0618 4度C'!$A:$T,19,0)</f>
        <v>8.3333333333333329E-2</v>
      </c>
      <c r="G16" s="74">
        <f>VLOOKUP("新豐7線",'0618 4度C'!$A:$T,19,0)</f>
        <v>0.20833333333333334</v>
      </c>
      <c r="H16" s="74">
        <f>VLOOKUP("新豐3線",'0618 4度C'!$A:$T,19,0)</f>
        <v>8.3333333333333329E-2</v>
      </c>
      <c r="I16" s="74">
        <f>VLOOKUP("新豐1線",'0618 4度C'!$A:$T,19,0)</f>
        <v>0.16666666666666666</v>
      </c>
      <c r="J16" s="75">
        <f>VLOOKUP("新豐10線",'0618 4度C'!$A:$T,19,0)</f>
        <v>0.20833333333333334</v>
      </c>
      <c r="K16" s="76">
        <f>VLOOKUP("新豐8線",'0618 4度C'!$A:$T,19,0)</f>
        <v>8.3333333333333329E-2</v>
      </c>
      <c r="L16" s="77">
        <f>VLOOKUP("新豐9線",'0618 4度C'!$A:$T,19,0)</f>
        <v>8.3333333333333329E-2</v>
      </c>
      <c r="M16" s="78">
        <f>VLOOKUP("新豐4線",'0618 4度C'!$A:$T,19,0)</f>
        <v>8.3333333333333329E-2</v>
      </c>
    </row>
    <row r="17" spans="2:13" ht="17.25" customHeight="1">
      <c r="B17" s="573"/>
      <c r="C17" s="72" t="s">
        <v>1605</v>
      </c>
      <c r="D17" s="76">
        <f>LOOKUP(2,1/(('0618 4度C'!$A:$A="新豐6線")*('0618 4度C'!$T:$T&lt;&gt;"")),'0618 4度C'!$T:$T)</f>
        <v>0.8041666666666667</v>
      </c>
      <c r="E17" s="74">
        <f>LOOKUP(2,1/(('0618 4度C'!$A:$A="新豐2線")*('0618 4度C'!$T:$T&lt;&gt;"")),'0618 4度C'!$T:$T)</f>
        <v>0.40763888888888888</v>
      </c>
      <c r="F17" s="74">
        <f>LOOKUP(2,1/(('0618 4度C'!$A:$A="新豐5線")*('0618 4度C'!$T:$T&lt;&gt;"")),'0618 4度C'!$T:$T)</f>
        <v>0.77708333333333335</v>
      </c>
      <c r="G17" s="74">
        <f>LOOKUP(2,1/(('0618 4度C'!$A:$A="新豐7線")*('0618 4度C'!$T:$T&lt;&gt;"")),'0618 4度C'!$T:$T)</f>
        <v>0.77916666666666667</v>
      </c>
      <c r="H17" s="74">
        <f>LOOKUP(2,1/(('0618 4度C'!$A:$A="新豐3線")*('0618 4度C'!$T:$T&lt;&gt;"")),'0618 4度C'!$T:$T)</f>
        <v>0.31666666666666665</v>
      </c>
      <c r="I17" s="74">
        <f>LOOKUP(2,1/(('0618 4度C'!$A:$A="新豐1線")*('0618 4度C'!$T:$T&lt;&gt;"")),'0618 4度C'!$T:$T)</f>
        <v>0.79652777777777783</v>
      </c>
      <c r="J17" s="75">
        <f>LOOKUP(2,1/(('0618 4度C'!$A:$A="新豐10線")*('0618 4度C'!$T:$T&lt;&gt;"")),'0618 4度C'!$T:$T)</f>
        <v>0.35069444444444442</v>
      </c>
      <c r="K17" s="73">
        <f>LOOKUP(2,1/(('0618 4度C'!$A:$A="新豐8線")*('0618 4度C'!$T:$T&lt;&gt;"")),'0618 4度C'!$T:$T)</f>
        <v>0.50555555555555554</v>
      </c>
      <c r="L17" s="74">
        <f>LOOKUP(2,1/(('0618 4度C'!$A:$A="新豐9線")*('0618 4度C'!$T:$T&lt;&gt;"")),'0618 4度C'!$T:$T)</f>
        <v>0.52152777777777781</v>
      </c>
      <c r="M17" s="75">
        <f>LOOKUP(2,1/(('0618 4度C'!$A:$A="新豐4線")*('0618 4度C'!$T:$T&lt;&gt;"")),'0618 4度C'!$T:$T)</f>
        <v>0.47499999999999992</v>
      </c>
    </row>
    <row r="18" spans="2:13" ht="17.25" customHeight="1">
      <c r="B18" s="551" t="s">
        <v>1606</v>
      </c>
      <c r="C18" s="79" t="s">
        <v>1607</v>
      </c>
      <c r="D18" s="80">
        <f>SUMIFS('0618 4度C'!$Y:$Y,'0618 4度C'!$A:$A,"新豐6線",'0618 4度C'!$B:$B,"平均")</f>
        <v>0</v>
      </c>
      <c r="E18" s="81">
        <f>SUMIFS('0618 4度C'!$Y:$Y,'0618 4度C'!$A:$A,"新豐2線",'0618 4度C'!$B:$B,"平均")</f>
        <v>0</v>
      </c>
      <c r="F18" s="81">
        <f>SUMIFS('0618 4度C'!$Y:$Y,'0618 4度C'!$A:$A,"新豐5線",'0618 4度C'!$B:$B,"平均")</f>
        <v>0</v>
      </c>
      <c r="G18" s="81">
        <f>SUMIFS('0618 4度C'!$Y:$Y,'0618 4度C'!$A:$A,"新豐7線",'0618 4度C'!$B:$B,"平均")</f>
        <v>0</v>
      </c>
      <c r="H18" s="81">
        <f>SUMIFS('0618 4度C'!$Y:$Y,'0618 4度C'!$A:$A,"新豐3線",'0618 4度C'!$B:$B,"平均")</f>
        <v>0</v>
      </c>
      <c r="I18" s="81">
        <f>SUMIFS('0618 4度C'!$Y:$Y,'0618 4度C'!$A:$A,"新豐1線",'0618 4度C'!$B:$B,"平均")</f>
        <v>0</v>
      </c>
      <c r="J18" s="82">
        <f>SUMIFS('0618 4度C'!$Y:$Y,'0618 4度C'!$A:$A,"新豐10線",'0618 4度C'!$B:$B,"平均")</f>
        <v>0</v>
      </c>
      <c r="K18" s="83">
        <f>SUMIFS('0618 4度C'!$Y:$Y,'0618 4度C'!$A:$A,"新豐8線",'0618 4度C'!$B:$B,"平均")</f>
        <v>0</v>
      </c>
      <c r="L18" s="81">
        <f>SUMIFS('0618 4度C'!$Y:$Y,'0618 4度C'!$A:$A,"新豐9線",'0618 4度C'!$B:$B,"平均")</f>
        <v>0</v>
      </c>
      <c r="M18" s="82">
        <f>SUMIFS('0618 4度C'!$Y:$Y,'0618 4度C'!$A:$A,"新豐4線",'0618 4度C'!$B:$B,"平均")</f>
        <v>0</v>
      </c>
    </row>
    <row r="19" spans="2:13" ht="17.25" customHeight="1">
      <c r="B19" s="552"/>
      <c r="C19" s="79" t="s">
        <v>1608</v>
      </c>
      <c r="D19" s="80">
        <f>SUMIFS('0618 4度C'!$Z:$Z,'0618 4度C'!$A:$A,"新豐6線",'0618 4度C'!$B:$B,"平均")</f>
        <v>0</v>
      </c>
      <c r="E19" s="81">
        <f>SUMIFS('0618 4度C'!$Z:$Z,'0618 4度C'!$A:$A,"新豐2線",'0618 4度C'!$B:$B,"平均")</f>
        <v>0</v>
      </c>
      <c r="F19" s="81">
        <f>SUMIFS('0618 4度C'!$Z:$Z,'0618 4度C'!$A:$A,"新豐5線",'0618 4度C'!$B:$B,"平均")</f>
        <v>0</v>
      </c>
      <c r="G19" s="81">
        <f>SUMIFS('0618 4度C'!$Z:$Z,'0618 4度C'!$A:$A,"新豐7線",'0618 4度C'!$B:$B,"平均")</f>
        <v>0</v>
      </c>
      <c r="H19" s="81">
        <f>SUMIFS('0618 4度C'!$Z:$Z,'0618 4度C'!$A:$A,"新豐3線",'0618 4度C'!$B:$B,"平均")</f>
        <v>0</v>
      </c>
      <c r="I19" s="81">
        <f>SUMIFS('0618 4度C'!$Z:$Z,'0618 4度C'!$A:$A,"新豐1線",'0618 4度C'!$B:$B,"平均")</f>
        <v>0</v>
      </c>
      <c r="J19" s="82">
        <f>SUMIFS('0618 4度C'!$Z:$Z,'0618 4度C'!$A:$A,"新豐10線",'0618 4度C'!$B:$B,"平均")</f>
        <v>0</v>
      </c>
      <c r="K19" s="83">
        <f>SUMIFS('0618 4度C'!$Z:$Z,'0618 4度C'!$A:$A,"新豐8線",'0618 4度C'!$B:$B,"平均")</f>
        <v>0</v>
      </c>
      <c r="L19" s="81">
        <f>SUMIFS('0618 4度C'!$Z:$Z,'0618 4度C'!$A:$A,"新豐9線",'0618 4度C'!$B:$B,"平均")</f>
        <v>0</v>
      </c>
      <c r="M19" s="82">
        <f>SUMIFS('0618 4度C'!$Z:$Z,'0618 4度C'!$A:$A,"新豐4線",'0618 4度C'!$B:$B,"平均")</f>
        <v>0</v>
      </c>
    </row>
    <row r="20" spans="2:13" ht="17.25" customHeight="1">
      <c r="B20" s="551" t="s">
        <v>1609</v>
      </c>
      <c r="C20" s="79" t="s">
        <v>1607</v>
      </c>
      <c r="D20" s="80">
        <f>SUMIFS('0618 4度C'!$AC:$AC,'0618 4度C'!$A:$A,"新豐6線",'0618 4度C'!$B:$B,"平均")</f>
        <v>3</v>
      </c>
      <c r="E20" s="81">
        <f>SUMIFS('0618 4度C'!$AC:$AC,'0618 4度C'!$A:$A,"新豐2線",'0618 4度C'!$B:$B,"平均")</f>
        <v>3</v>
      </c>
      <c r="F20" s="81">
        <f>SUMIFS('0618 4度C'!$AC:$AC,'0618 4度C'!$A:$A,"新豐5線",'0618 4度C'!$B:$B,"平均")</f>
        <v>7</v>
      </c>
      <c r="G20" s="81">
        <f>SUMIFS('0618 4度C'!$AC:$AC,'0618 4度C'!$A:$A,"新豐7線",'0618 4度C'!$B:$B,"平均")</f>
        <v>7</v>
      </c>
      <c r="H20" s="81">
        <f>SUMIFS('0618 4度C'!$AC:$AC,'0618 4度C'!$A:$A,"新豐3線",'0618 4度C'!$B:$B,"平均")</f>
        <v>4</v>
      </c>
      <c r="I20" s="81">
        <f>SUMIFS('0618 4度C'!$AC:$AC,'0618 4度C'!$A:$A,"新豐1線",'0618 4度C'!$B:$B,"平均")</f>
        <v>7</v>
      </c>
      <c r="J20" s="82">
        <f>SUMIFS('0618 4度C'!$AC:$AC,'0618 4度C'!$A:$A,"新豐10線",'0618 4度C'!$B:$B,"平均")</f>
        <v>5</v>
      </c>
      <c r="K20" s="83">
        <f>SUMIFS('0618 4度C'!$AC:$AC,'0618 4度C'!$A:$A,"新豐8線",'0618 4度C'!$B:$B,"平均")</f>
        <v>5</v>
      </c>
      <c r="L20" s="81">
        <f>SUMIFS('0618 4度C'!$AC:$AC,'0618 4度C'!$A:$A,"新豐9線",'0618 4度C'!$B:$B,"平均")</f>
        <v>5</v>
      </c>
      <c r="M20" s="82">
        <f>SUMIFS('0618 4度C'!$AC:$AC,'0618 4度C'!$A:$A,"新豐4線",'0618 4度C'!$B:$B,"平均")</f>
        <v>5</v>
      </c>
    </row>
    <row r="21" spans="2:13" ht="17.25" customHeight="1">
      <c r="B21" s="552"/>
      <c r="C21" s="79" t="s">
        <v>1610</v>
      </c>
      <c r="D21" s="80">
        <f>SUMIFS('0618 4度C'!$AD:$AD,'0618 4度C'!$A:$A,"新豐6線",'0618 4度C'!$B:$B,"平均")</f>
        <v>0</v>
      </c>
      <c r="E21" s="81">
        <f>SUMIFS('0618 4度C'!$AD:$AD,'0618 4度C'!$A:$A,"新豐2線",'0618 4度C'!$B:$B,"平均")</f>
        <v>0</v>
      </c>
      <c r="F21" s="81">
        <f>SUMIFS('0618 4度C'!$AD:$AD,'0618 4度C'!$A:$A,"新豐5線",'0618 4度C'!$B:$B,"平均")</f>
        <v>0</v>
      </c>
      <c r="G21" s="81">
        <f>SUMIFS('0618 4度C'!$AD:$AD,'0618 4度C'!$A:$A,"新豐7線",'0618 4度C'!$B:$B,"平均")</f>
        <v>0</v>
      </c>
      <c r="H21" s="81">
        <f>SUMIFS('0618 4度C'!$AD:$AD,'0618 4度C'!$A:$A,"新豐3線",'0618 4度C'!$B:$B,"平均")</f>
        <v>0</v>
      </c>
      <c r="I21" s="81">
        <f>SUMIFS('0618 4度C'!$AD:$AD,'0618 4度C'!$A:$A,"新豐1線",'0618 4度C'!$B:$B,"平均")</f>
        <v>0</v>
      </c>
      <c r="J21" s="82">
        <f>SUMIFS('0618 4度C'!$AD:$AD,'0618 4度C'!$A:$A,"新豐10線",'0618 4度C'!$B:$B,"平均")</f>
        <v>0</v>
      </c>
      <c r="K21" s="83">
        <f>SUMIFS('0618 4度C'!$AD:$AD,'0618 4度C'!$A:$A,"新豐8線",'0618 4度C'!$B:$B,"平均")</f>
        <v>0</v>
      </c>
      <c r="L21" s="81">
        <f>SUMIFS('0618 4度C'!$AD:$AD,'0618 4度C'!$A:$A,"新豐9線",'0618 4度C'!$B:$B,"平均")</f>
        <v>0</v>
      </c>
      <c r="M21" s="82">
        <f>SUMIFS('0618 4度C'!$AD:$AD,'0618 4度C'!$A:$A,"新豐4線",'0618 4度C'!$B:$B,"平均")</f>
        <v>0</v>
      </c>
    </row>
    <row r="22" spans="2:13" ht="17.25" customHeight="1">
      <c r="B22" s="553" t="s">
        <v>1611</v>
      </c>
      <c r="C22" s="554"/>
      <c r="D22" s="84">
        <f>SUMIFS('0618 4度C'!$I:$I,'0618 4度C'!$A:$A,"新豐6線",'0618 4度C'!$B:$B,"平均")</f>
        <v>15.333333333333334</v>
      </c>
      <c r="E22" s="85">
        <f>SUMIFS('0618 4度C'!$I:$I,'0618 4度C'!$A:$A,"新豐2線",'0618 4度C'!$B:$B,"平均")</f>
        <v>17.333333333333332</v>
      </c>
      <c r="F22" s="85">
        <f>SUMIFS('0618 4度C'!$I:$I,'0618 4度C'!$A:$A,"新豐5線",'0618 4度C'!$B:$B,"平均")</f>
        <v>18.714285714285715</v>
      </c>
      <c r="G22" s="85">
        <f>SUMIFS('0618 4度C'!$I:$I,'0618 4度C'!$A:$A,"新豐7線",'0618 4度C'!$B:$B,"平均")</f>
        <v>16.714285714285715</v>
      </c>
      <c r="H22" s="85">
        <f>SUMIFS('0618 4度C'!$I:$I,'0618 4度C'!$A:$A,"新豐3線",'0618 4度C'!$B:$B,"平均")</f>
        <v>10.75</v>
      </c>
      <c r="I22" s="85">
        <f>SUMIFS('0618 4度C'!$I:$I,'0618 4度C'!$A:$A,"新豐1線",'0618 4度C'!$B:$B,"平均")</f>
        <v>16.714285714285715</v>
      </c>
      <c r="J22" s="86">
        <f>SUMIFS('0618 4度C'!$I:$I,'0618 4度C'!$A:$A,"新豐10線",'0618 4度C'!$B:$B,"平均")</f>
        <v>9.4</v>
      </c>
      <c r="K22" s="84">
        <f>SUMIFS('0618 4度C'!$I:$I,'0618 4度C'!$A:$A,"新豐8線",'0618 4度C'!$B:$B,"平均")</f>
        <v>17.2</v>
      </c>
      <c r="L22" s="85">
        <f>SUMIFS('0618 4度C'!$I:$I,'0618 4度C'!$A:$A,"新豐9線",'0618 4度C'!$B:$B,"平均")</f>
        <v>18</v>
      </c>
      <c r="M22" s="86">
        <f>SUMIFS('0618 4度C'!$I:$I,'0618 4度C'!$A:$A,"新豐4線",'0618 4度C'!$B:$B,"平均")</f>
        <v>15.6</v>
      </c>
    </row>
    <row r="23" spans="2:13" ht="17.25" customHeight="1">
      <c r="B23" s="553" t="s">
        <v>1612</v>
      </c>
      <c r="C23" s="554"/>
      <c r="D23" s="87" t="s">
        <v>71</v>
      </c>
      <c r="E23" s="88" t="s">
        <v>72</v>
      </c>
      <c r="F23" s="88" t="s">
        <v>1613</v>
      </c>
      <c r="G23" s="88" t="s">
        <v>1613</v>
      </c>
      <c r="H23" s="88" t="s">
        <v>73</v>
      </c>
      <c r="I23" s="88" t="s">
        <v>71</v>
      </c>
      <c r="J23" s="89" t="s">
        <v>73</v>
      </c>
      <c r="K23" s="87" t="s">
        <v>1614</v>
      </c>
      <c r="L23" s="88" t="s">
        <v>1615</v>
      </c>
      <c r="M23" s="89" t="s">
        <v>124</v>
      </c>
    </row>
    <row r="24" spans="2:13" ht="17.25" customHeight="1">
      <c r="B24" s="553" t="s">
        <v>1616</v>
      </c>
      <c r="C24" s="554"/>
      <c r="D24" s="87"/>
      <c r="E24" s="88"/>
      <c r="F24" s="88" t="s">
        <v>1617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1618</v>
      </c>
      <c r="C25" s="556"/>
      <c r="D25" s="90"/>
      <c r="E25" s="91" t="s">
        <v>1619</v>
      </c>
      <c r="F25" s="549" t="s">
        <v>1620</v>
      </c>
      <c r="G25" s="550"/>
      <c r="H25" s="91" t="s">
        <v>130</v>
      </c>
      <c r="I25" s="91" t="s">
        <v>1621</v>
      </c>
      <c r="J25" s="92" t="s">
        <v>1622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19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6"/>
  <sheetViews>
    <sheetView zoomScale="80" zoomScaleNormal="80" workbookViewId="0">
      <pane ySplit="4" topLeftCell="A32" activePane="bottomLeft" state="frozen"/>
      <selection activeCell="K3" sqref="K3"/>
      <selection pane="bottomLeft" activeCell="K3" sqref="K3:K4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1623</v>
      </c>
      <c r="B1" s="1"/>
      <c r="C1" s="2" t="s">
        <v>1624</v>
      </c>
      <c r="D1" s="3">
        <f>SUM(F5:F65)</f>
        <v>133703</v>
      </c>
      <c r="E1" s="357" t="s">
        <v>1625</v>
      </c>
      <c r="F1" s="1">
        <f>SUM(G5:G65)</f>
        <v>4601753.6199999982</v>
      </c>
      <c r="G1" s="1" t="s">
        <v>1626</v>
      </c>
      <c r="H1" s="4">
        <v>155.75952380952381</v>
      </c>
      <c r="I1" s="663" t="s">
        <v>1627</v>
      </c>
      <c r="J1" s="663"/>
      <c r="K1" s="663"/>
      <c r="L1" s="663" t="s">
        <v>1628</v>
      </c>
      <c r="M1" s="663"/>
      <c r="N1" s="663"/>
      <c r="O1" s="663" t="s">
        <v>1629</v>
      </c>
      <c r="P1" s="663"/>
      <c r="Q1" s="663"/>
      <c r="R1" s="663"/>
      <c r="S1" s="663" t="s">
        <v>1630</v>
      </c>
      <c r="T1" s="663"/>
      <c r="U1" s="663"/>
      <c r="V1" s="663"/>
      <c r="W1" s="663"/>
      <c r="X1" s="663"/>
      <c r="Y1" s="5" t="s">
        <v>1631</v>
      </c>
      <c r="Z1" s="6" t="s">
        <v>1632</v>
      </c>
      <c r="AA1" s="664" t="s">
        <v>1633</v>
      </c>
      <c r="AB1" s="664"/>
      <c r="AC1" s="188" t="s">
        <v>1631</v>
      </c>
      <c r="AD1" s="6" t="s">
        <v>1634</v>
      </c>
      <c r="AE1" s="663" t="s">
        <v>1635</v>
      </c>
      <c r="AF1" s="665"/>
      <c r="AG1" s="665"/>
    </row>
    <row r="2" spans="1:33" ht="26.25" customHeight="1">
      <c r="A2" s="27">
        <v>46191</v>
      </c>
      <c r="B2" s="28" t="s">
        <v>418</v>
      </c>
      <c r="C2" s="2" t="s">
        <v>1599</v>
      </c>
      <c r="D2" s="8">
        <f>AVERAGE(N8,N12,N45,N53,N20,N59,N28,N34,N40,N65)</f>
        <v>147.16198384583612</v>
      </c>
      <c r="E2" s="9" t="s">
        <v>0</v>
      </c>
      <c r="F2" s="10">
        <f>F1/D1</f>
        <v>34.417728996357589</v>
      </c>
      <c r="G2" s="1" t="s">
        <v>1636</v>
      </c>
      <c r="H2" s="368">
        <v>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SUM(Y8+Y12+Y20+Y28+Y34+Y40+Y45+Y53+Y59+Y65)</f>
        <v>0</v>
      </c>
      <c r="Z2" s="11">
        <f>SUM(Z8+Z12+Z20+Z28+Z34+Z40+Z45+Z53+Z59+Z65)</f>
        <v>0</v>
      </c>
      <c r="AA2" s="664"/>
      <c r="AB2" s="664"/>
      <c r="AC2" s="11">
        <v>51</v>
      </c>
      <c r="AD2" s="11">
        <f>SUM(AD8+AD12+AD20+AD28+AD34+AD40+AD45+AD53+AD59+AD65)</f>
        <v>0</v>
      </c>
      <c r="AE2" s="665"/>
      <c r="AF2" s="665"/>
      <c r="AG2" s="665"/>
    </row>
    <row r="3" spans="1:33" ht="40.5" customHeight="1">
      <c r="A3" s="617" t="s">
        <v>1637</v>
      </c>
      <c r="B3" s="617" t="s">
        <v>1638</v>
      </c>
      <c r="C3" s="617" t="s">
        <v>1639</v>
      </c>
      <c r="D3" s="617"/>
      <c r="E3" s="661" t="s">
        <v>1640</v>
      </c>
      <c r="F3" s="617" t="s">
        <v>1641</v>
      </c>
      <c r="G3" s="661" t="s">
        <v>1642</v>
      </c>
      <c r="H3" s="654" t="s">
        <v>1643</v>
      </c>
      <c r="I3" s="652" t="s">
        <v>1644</v>
      </c>
      <c r="J3" s="649" t="s">
        <v>1645</v>
      </c>
      <c r="K3" s="659" t="s">
        <v>1599</v>
      </c>
      <c r="L3" s="652" t="s">
        <v>1644</v>
      </c>
      <c r="M3" s="649" t="s">
        <v>1645</v>
      </c>
      <c r="N3" s="659" t="s">
        <v>1599</v>
      </c>
      <c r="O3" s="652" t="s">
        <v>1644</v>
      </c>
      <c r="P3" s="659" t="s">
        <v>1599</v>
      </c>
      <c r="Q3" s="650" t="s">
        <v>1646</v>
      </c>
      <c r="R3" s="630" t="s">
        <v>1647</v>
      </c>
      <c r="S3" s="660" t="s">
        <v>1</v>
      </c>
      <c r="T3" s="660"/>
      <c r="U3" s="654" t="s">
        <v>2</v>
      </c>
      <c r="V3" s="654" t="s">
        <v>1648</v>
      </c>
      <c r="W3" s="617" t="s">
        <v>1649</v>
      </c>
      <c r="X3" s="617"/>
      <c r="Y3" s="655" t="s">
        <v>1650</v>
      </c>
      <c r="Z3" s="614"/>
      <c r="AA3" s="656" t="s">
        <v>1651</v>
      </c>
      <c r="AB3" s="657"/>
      <c r="AC3" s="655" t="s">
        <v>1652</v>
      </c>
      <c r="AD3" s="614"/>
      <c r="AE3" s="649" t="s">
        <v>1653</v>
      </c>
      <c r="AF3" s="650" t="s">
        <v>1654</v>
      </c>
      <c r="AG3" s="630" t="s">
        <v>1655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367" t="s">
        <v>3</v>
      </c>
      <c r="T4" s="367" t="s">
        <v>4</v>
      </c>
      <c r="U4" s="654"/>
      <c r="V4" s="654"/>
      <c r="W4" s="357" t="s">
        <v>1656</v>
      </c>
      <c r="X4" s="357" t="s">
        <v>1657</v>
      </c>
      <c r="Y4" s="355" t="s">
        <v>1658</v>
      </c>
      <c r="Z4" s="355" t="s">
        <v>1659</v>
      </c>
      <c r="AA4" s="658"/>
      <c r="AB4" s="657"/>
      <c r="AC4" s="355" t="s">
        <v>1660</v>
      </c>
      <c r="AD4" s="355" t="s">
        <v>1661</v>
      </c>
      <c r="AE4" s="649"/>
      <c r="AF4" s="650"/>
      <c r="AG4" s="630"/>
    </row>
    <row r="5" spans="1:33">
      <c r="A5" s="651" t="s">
        <v>1662</v>
      </c>
      <c r="B5" s="29" t="s">
        <v>15</v>
      </c>
      <c r="C5" s="653" t="s">
        <v>17</v>
      </c>
      <c r="D5" s="653"/>
      <c r="E5" s="29">
        <v>50.67</v>
      </c>
      <c r="F5" s="367">
        <v>791</v>
      </c>
      <c r="G5" s="357">
        <f t="shared" ref="G5:G7" si="0">E5*F5</f>
        <v>40079.97</v>
      </c>
      <c r="H5" s="33" t="s">
        <v>57</v>
      </c>
      <c r="I5" s="365">
        <v>15</v>
      </c>
      <c r="J5" s="31">
        <v>2000</v>
      </c>
      <c r="K5" s="12">
        <f t="shared" ref="K5:K65" si="1">J5/I5</f>
        <v>133.33333333333334</v>
      </c>
      <c r="L5" s="365">
        <v>15</v>
      </c>
      <c r="M5" s="13">
        <f t="shared" ref="M5:M7" si="2">F5/V5*60</f>
        <v>1977.4999999999936</v>
      </c>
      <c r="N5" s="12">
        <f t="shared" ref="N5:N65" si="3">M5/L5</f>
        <v>131.83333333333292</v>
      </c>
      <c r="O5" s="14">
        <f t="shared" ref="O5:O65" si="4">L5-I5</f>
        <v>0</v>
      </c>
      <c r="P5" s="15">
        <f t="shared" ref="P5:P65" si="5">N5-K5</f>
        <v>-1.5000000000004263</v>
      </c>
      <c r="Q5" s="356">
        <f t="shared" ref="Q5:Q65" si="6">N5/K5</f>
        <v>0.9887499999999968</v>
      </c>
      <c r="R5" s="615">
        <f>Q8</f>
        <v>0.96698333333333231</v>
      </c>
      <c r="S5" s="34">
        <v>0.70833333333333337</v>
      </c>
      <c r="T5" s="34">
        <v>0.72500000000000009</v>
      </c>
      <c r="U5" s="357"/>
      <c r="V5" s="366">
        <f t="shared" ref="V5:V7" si="7">(T5-S5)*24*60</f>
        <v>24.000000000000075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2" si="8">M5-J5</f>
        <v>-22.500000000006366</v>
      </c>
      <c r="AF5" s="356">
        <f t="shared" ref="AF5:AF65" si="9">M5/J5</f>
        <v>0.9887499999999968</v>
      </c>
      <c r="AG5" s="615">
        <f>AF8</f>
        <v>0.96698333333333231</v>
      </c>
    </row>
    <row r="6" spans="1:33">
      <c r="A6" s="652" t="s">
        <v>1663</v>
      </c>
      <c r="B6" s="29" t="s">
        <v>15</v>
      </c>
      <c r="C6" s="653" t="s">
        <v>26</v>
      </c>
      <c r="D6" s="653"/>
      <c r="E6" s="29">
        <v>50.92</v>
      </c>
      <c r="F6" s="367">
        <v>1597</v>
      </c>
      <c r="G6" s="357">
        <f t="shared" si="0"/>
        <v>81319.240000000005</v>
      </c>
      <c r="H6" s="33" t="s">
        <v>57</v>
      </c>
      <c r="I6" s="365">
        <v>15</v>
      </c>
      <c r="J6" s="31">
        <v>2000</v>
      </c>
      <c r="K6" s="12">
        <f t="shared" si="1"/>
        <v>133.33333333333334</v>
      </c>
      <c r="L6" s="365">
        <v>15</v>
      </c>
      <c r="M6" s="13">
        <f t="shared" si="2"/>
        <v>1916.4000000000005</v>
      </c>
      <c r="N6" s="12">
        <f t="shared" si="3"/>
        <v>127.76000000000003</v>
      </c>
      <c r="O6" s="14">
        <f t="shared" si="4"/>
        <v>0</v>
      </c>
      <c r="P6" s="15">
        <f t="shared" si="5"/>
        <v>-5.5733333333333093</v>
      </c>
      <c r="Q6" s="356">
        <f t="shared" si="6"/>
        <v>0.95820000000000016</v>
      </c>
      <c r="R6" s="615"/>
      <c r="S6" s="34">
        <v>0.73055555555555562</v>
      </c>
      <c r="T6" s="34">
        <v>0.76527777777777783</v>
      </c>
      <c r="U6" s="357">
        <f t="shared" ref="U6:U7" si="10">IF(S6=TIME(17,0,0),"",(S6-T5)*24*60)</f>
        <v>7.9999999999999716</v>
      </c>
      <c r="V6" s="366">
        <f t="shared" si="7"/>
        <v>49.999999999999986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-83.599999999999454</v>
      </c>
      <c r="AF6" s="356">
        <f t="shared" si="9"/>
        <v>0.95820000000000027</v>
      </c>
      <c r="AG6" s="615"/>
    </row>
    <row r="7" spans="1:33">
      <c r="A7" s="652" t="s">
        <v>1663</v>
      </c>
      <c r="B7" s="29" t="s">
        <v>15</v>
      </c>
      <c r="C7" s="644" t="s">
        <v>31</v>
      </c>
      <c r="D7" s="645"/>
      <c r="E7" s="29">
        <v>50.98</v>
      </c>
      <c r="F7" s="367">
        <v>1590</v>
      </c>
      <c r="G7" s="357">
        <f t="shared" si="0"/>
        <v>81058.2</v>
      </c>
      <c r="H7" s="33" t="s">
        <v>57</v>
      </c>
      <c r="I7" s="365">
        <v>16</v>
      </c>
      <c r="J7" s="31">
        <v>2000</v>
      </c>
      <c r="K7" s="12">
        <f t="shared" si="1"/>
        <v>125</v>
      </c>
      <c r="L7" s="365">
        <v>16</v>
      </c>
      <c r="M7" s="13">
        <f t="shared" si="2"/>
        <v>1908.0000000000005</v>
      </c>
      <c r="N7" s="12">
        <f t="shared" si="3"/>
        <v>119.25000000000003</v>
      </c>
      <c r="O7" s="14">
        <f t="shared" si="4"/>
        <v>0</v>
      </c>
      <c r="P7" s="15">
        <f t="shared" si="5"/>
        <v>-5.7499999999999716</v>
      </c>
      <c r="Q7" s="356">
        <f t="shared" si="6"/>
        <v>0.95400000000000018</v>
      </c>
      <c r="R7" s="615"/>
      <c r="S7" s="34">
        <v>0.76944444444444449</v>
      </c>
      <c r="T7" s="34">
        <v>0.8041666666666667</v>
      </c>
      <c r="U7" s="357">
        <f t="shared" si="10"/>
        <v>5.9999999999999787</v>
      </c>
      <c r="V7" s="366">
        <f t="shared" si="7"/>
        <v>49.999999999999986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-91.999999999999545</v>
      </c>
      <c r="AF7" s="356">
        <f t="shared" si="9"/>
        <v>0.95400000000000018</v>
      </c>
      <c r="AG7" s="615"/>
    </row>
    <row r="8" spans="1:33">
      <c r="A8" s="652" t="s">
        <v>1663</v>
      </c>
      <c r="B8" s="29" t="s">
        <v>1664</v>
      </c>
      <c r="C8" s="618"/>
      <c r="D8" s="618"/>
      <c r="E8" s="358"/>
      <c r="F8" s="30"/>
      <c r="G8" s="12"/>
      <c r="H8" s="367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1933.9666666666647</v>
      </c>
      <c r="N8" s="12">
        <f t="shared" si="3"/>
        <v>126.12826086956508</v>
      </c>
      <c r="O8" s="14">
        <f t="shared" si="4"/>
        <v>0</v>
      </c>
      <c r="P8" s="15">
        <f t="shared" si="5"/>
        <v>-4.3065217391305737</v>
      </c>
      <c r="Q8" s="356">
        <f t="shared" si="6"/>
        <v>0.96698333333333231</v>
      </c>
      <c r="R8" s="615"/>
      <c r="S8" s="34"/>
      <c r="T8" s="34"/>
      <c r="U8" s="357"/>
      <c r="V8" s="366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-66.033333333335349</v>
      </c>
      <c r="AF8" s="356">
        <f t="shared" si="9"/>
        <v>0.96698333333333231</v>
      </c>
      <c r="AG8" s="615"/>
    </row>
    <row r="9" spans="1:33" ht="15.75" customHeight="1">
      <c r="A9" s="648" t="s">
        <v>1665</v>
      </c>
      <c r="B9" s="29" t="s">
        <v>19</v>
      </c>
      <c r="C9" s="644" t="s">
        <v>20</v>
      </c>
      <c r="D9" s="645"/>
      <c r="E9" s="29">
        <v>39.619999999999997</v>
      </c>
      <c r="F9" s="367">
        <v>3048</v>
      </c>
      <c r="G9" s="357">
        <f t="shared" ref="G9:G11" si="11">E9*F9</f>
        <v>120761.76</v>
      </c>
      <c r="H9" s="33" t="s">
        <v>57</v>
      </c>
      <c r="I9" s="365">
        <v>19</v>
      </c>
      <c r="J9" s="31">
        <v>1500</v>
      </c>
      <c r="K9" s="12">
        <f t="shared" si="1"/>
        <v>78.94736842105263</v>
      </c>
      <c r="L9" s="365">
        <v>19</v>
      </c>
      <c r="M9" s="13">
        <f t="shared" ref="M9:M11" si="12">F9/V9*60</f>
        <v>1428.75</v>
      </c>
      <c r="N9" s="12">
        <f t="shared" si="3"/>
        <v>75.19736842105263</v>
      </c>
      <c r="O9" s="14">
        <f t="shared" si="4"/>
        <v>0</v>
      </c>
      <c r="P9" s="15">
        <f t="shared" si="5"/>
        <v>-3.75</v>
      </c>
      <c r="Q9" s="356">
        <f t="shared" si="6"/>
        <v>0.95250000000000001</v>
      </c>
      <c r="R9" s="615">
        <f>Q12</f>
        <v>0.95479816432008557</v>
      </c>
      <c r="S9" s="34">
        <v>8.3333333333333329E-2</v>
      </c>
      <c r="T9" s="34">
        <v>0.17222222222222222</v>
      </c>
      <c r="U9" s="357"/>
      <c r="V9" s="366">
        <f t="shared" ref="V9:V11" si="13">(T9-S9)*24*60</f>
        <v>128</v>
      </c>
      <c r="W9" s="16">
        <f>T9</f>
        <v>0.17222222222222222</v>
      </c>
      <c r="X9" s="16">
        <f>S10</f>
        <v>0.19236111111111112</v>
      </c>
      <c r="Y9" s="16"/>
      <c r="Z9" s="16"/>
      <c r="AA9" s="617"/>
      <c r="AB9" s="617"/>
      <c r="AC9" s="35">
        <v>3</v>
      </c>
      <c r="AD9" s="18"/>
      <c r="AE9" s="14">
        <f t="shared" si="8"/>
        <v>-71.25</v>
      </c>
      <c r="AF9" s="356">
        <f t="shared" si="9"/>
        <v>0.95250000000000001</v>
      </c>
      <c r="AG9" s="615">
        <f>AF12</f>
        <v>0.95479816432008557</v>
      </c>
    </row>
    <row r="10" spans="1:33" ht="15.75" customHeight="1">
      <c r="A10" s="648" t="s">
        <v>1665</v>
      </c>
      <c r="B10" s="29" t="s">
        <v>19</v>
      </c>
      <c r="C10" s="644" t="s">
        <v>83</v>
      </c>
      <c r="D10" s="645"/>
      <c r="E10" s="29">
        <v>39.46</v>
      </c>
      <c r="F10" s="367">
        <v>2968</v>
      </c>
      <c r="G10" s="357">
        <f t="shared" si="11"/>
        <v>117117.28</v>
      </c>
      <c r="H10" s="33" t="s">
        <v>57</v>
      </c>
      <c r="I10" s="365">
        <v>16</v>
      </c>
      <c r="J10" s="31">
        <v>1500</v>
      </c>
      <c r="K10" s="12">
        <f t="shared" si="1"/>
        <v>93.75</v>
      </c>
      <c r="L10" s="365">
        <v>16</v>
      </c>
      <c r="M10" s="13">
        <f t="shared" si="12"/>
        <v>1436.1290322580646</v>
      </c>
      <c r="N10" s="12">
        <f t="shared" si="3"/>
        <v>89.758064516129039</v>
      </c>
      <c r="O10" s="14">
        <f t="shared" si="4"/>
        <v>0</v>
      </c>
      <c r="P10" s="15">
        <f t="shared" si="5"/>
        <v>-3.9919354838709609</v>
      </c>
      <c r="Q10" s="356">
        <f t="shared" si="6"/>
        <v>0.95741935483870977</v>
      </c>
      <c r="R10" s="615"/>
      <c r="S10" s="34">
        <v>0.19236111111111112</v>
      </c>
      <c r="T10" s="34">
        <v>0.27847222222222223</v>
      </c>
      <c r="U10" s="357">
        <f t="shared" ref="U10:U11" si="14">IF(S10=TIME(17,0,0),"",(S10-T9)*24*60)</f>
        <v>29.000000000000018</v>
      </c>
      <c r="V10" s="366">
        <f t="shared" si="13"/>
        <v>123.99999999999999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-63.870967741935374</v>
      </c>
      <c r="AF10" s="356">
        <f t="shared" si="9"/>
        <v>0.95741935483870977</v>
      </c>
      <c r="AG10" s="615"/>
    </row>
    <row r="11" spans="1:33" ht="15.75" customHeight="1">
      <c r="A11" s="648" t="s">
        <v>1665</v>
      </c>
      <c r="B11" s="29" t="s">
        <v>19</v>
      </c>
      <c r="C11" s="644" t="s">
        <v>21</v>
      </c>
      <c r="D11" s="645"/>
      <c r="E11" s="29">
        <v>39.799999999999997</v>
      </c>
      <c r="F11" s="367">
        <v>4319</v>
      </c>
      <c r="G11" s="357">
        <f t="shared" si="11"/>
        <v>171896.19999999998</v>
      </c>
      <c r="H11" s="33" t="s">
        <v>57</v>
      </c>
      <c r="I11" s="365">
        <v>17</v>
      </c>
      <c r="J11" s="31">
        <v>1500</v>
      </c>
      <c r="K11" s="12">
        <f t="shared" si="1"/>
        <v>88.235294117647058</v>
      </c>
      <c r="L11" s="365">
        <v>17</v>
      </c>
      <c r="M11" s="13">
        <f t="shared" si="12"/>
        <v>1431.7127071823204</v>
      </c>
      <c r="N11" s="12">
        <f t="shared" si="3"/>
        <v>84.218394540136501</v>
      </c>
      <c r="O11" s="14">
        <f t="shared" si="4"/>
        <v>0</v>
      </c>
      <c r="P11" s="15">
        <f t="shared" si="5"/>
        <v>-4.0168995775105572</v>
      </c>
      <c r="Q11" s="356">
        <f t="shared" si="6"/>
        <v>0.95447513812154705</v>
      </c>
      <c r="R11" s="615"/>
      <c r="S11" s="34">
        <v>0.28194444444444444</v>
      </c>
      <c r="T11" s="34">
        <v>0.40763888888888888</v>
      </c>
      <c r="U11" s="357">
        <f t="shared" si="14"/>
        <v>4.9999999999999822</v>
      </c>
      <c r="V11" s="366">
        <f t="shared" si="13"/>
        <v>181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-68.287292817679599</v>
      </c>
      <c r="AF11" s="356">
        <f t="shared" si="9"/>
        <v>0.95447513812154694</v>
      </c>
      <c r="AG11" s="615"/>
    </row>
    <row r="12" spans="1:33" ht="16.5" customHeight="1">
      <c r="A12" s="648" t="s">
        <v>1665</v>
      </c>
      <c r="B12" s="29" t="s">
        <v>1664</v>
      </c>
      <c r="C12" s="618"/>
      <c r="D12" s="618"/>
      <c r="E12" s="358"/>
      <c r="F12" s="31"/>
      <c r="G12" s="13"/>
      <c r="H12" s="367"/>
      <c r="I12" s="23">
        <v>17.333333333333332</v>
      </c>
      <c r="J12" s="31">
        <v>1500</v>
      </c>
      <c r="K12" s="12">
        <f t="shared" si="1"/>
        <v>86.538461538461547</v>
      </c>
      <c r="L12" s="23">
        <v>17.333333333333332</v>
      </c>
      <c r="M12" s="13">
        <f>AVERAGE(M9:M11)</f>
        <v>1432.1972464801283</v>
      </c>
      <c r="N12" s="12">
        <f t="shared" si="3"/>
        <v>82.626764220007416</v>
      </c>
      <c r="O12" s="14">
        <f t="shared" si="4"/>
        <v>0</v>
      </c>
      <c r="P12" s="15">
        <f t="shared" si="5"/>
        <v>-3.9116973184541308</v>
      </c>
      <c r="Q12" s="356">
        <f t="shared" si="6"/>
        <v>0.95479816432008557</v>
      </c>
      <c r="R12" s="615"/>
      <c r="S12" s="34"/>
      <c r="T12" s="34"/>
      <c r="U12" s="12"/>
      <c r="V12" s="366"/>
      <c r="W12" s="12"/>
      <c r="X12" s="12"/>
      <c r="Y12" s="24">
        <f>SUM(Y9:Y11)</f>
        <v>0</v>
      </c>
      <c r="Z12" s="24">
        <f>SUM(Z9:Z11)</f>
        <v>0</v>
      </c>
      <c r="AA12" s="614"/>
      <c r="AB12" s="614"/>
      <c r="AC12" s="24">
        <v>3</v>
      </c>
      <c r="AD12" s="24">
        <f>SUM(AD9:AD11)</f>
        <v>0</v>
      </c>
      <c r="AE12" s="14">
        <f t="shared" si="8"/>
        <v>-67.802753519871658</v>
      </c>
      <c r="AF12" s="356">
        <f t="shared" si="9"/>
        <v>0.95479816432008557</v>
      </c>
      <c r="AG12" s="615"/>
    </row>
    <row r="13" spans="1:33" ht="16.5" customHeight="1">
      <c r="A13" s="646" t="s">
        <v>1666</v>
      </c>
      <c r="B13" s="367" t="s">
        <v>22</v>
      </c>
      <c r="C13" s="640" t="s">
        <v>23</v>
      </c>
      <c r="D13" s="640"/>
      <c r="E13" s="29">
        <v>41</v>
      </c>
      <c r="F13" s="367">
        <v>1722</v>
      </c>
      <c r="G13" s="357">
        <f t="shared" ref="G13:G19" si="15">E13*F13</f>
        <v>70602</v>
      </c>
      <c r="H13" s="33" t="s">
        <v>57</v>
      </c>
      <c r="I13" s="365">
        <v>26</v>
      </c>
      <c r="J13" s="31">
        <v>1500</v>
      </c>
      <c r="K13" s="12">
        <f t="shared" si="1"/>
        <v>57.692307692307693</v>
      </c>
      <c r="L13" s="365">
        <v>26</v>
      </c>
      <c r="M13" s="13">
        <f t="shared" ref="M13:M19" si="16">F13/V13*60</f>
        <v>1434.9999999999995</v>
      </c>
      <c r="N13" s="12">
        <f t="shared" si="3"/>
        <v>55.192307692307672</v>
      </c>
      <c r="O13" s="14">
        <f t="shared" si="4"/>
        <v>0</v>
      </c>
      <c r="P13" s="15">
        <f t="shared" si="5"/>
        <v>-2.5000000000000213</v>
      </c>
      <c r="Q13" s="356">
        <f t="shared" si="6"/>
        <v>0.95666666666666633</v>
      </c>
      <c r="R13" s="615">
        <f>Q20</f>
        <v>0.96387279527391745</v>
      </c>
      <c r="S13" s="34">
        <v>8.3333333333333329E-2</v>
      </c>
      <c r="T13" s="34">
        <v>0.13333333333333333</v>
      </c>
      <c r="U13" s="357"/>
      <c r="V13" s="366">
        <f t="shared" ref="V13:V19" si="17">(T13-S13)*24*60</f>
        <v>72.000000000000014</v>
      </c>
      <c r="W13" s="16">
        <f>T13</f>
        <v>0.13333333333333333</v>
      </c>
      <c r="X13" s="16">
        <f>S14</f>
        <v>0.15347222222222223</v>
      </c>
      <c r="Y13" s="21"/>
      <c r="Z13" s="21"/>
      <c r="AA13" s="617"/>
      <c r="AB13" s="617"/>
      <c r="AC13" s="35">
        <v>7</v>
      </c>
      <c r="AD13" s="18"/>
      <c r="AE13" s="14">
        <f t="shared" si="8"/>
        <v>-65.000000000000455</v>
      </c>
      <c r="AF13" s="356">
        <f t="shared" si="9"/>
        <v>0.95666666666666633</v>
      </c>
      <c r="AG13" s="615">
        <f>AF20</f>
        <v>0.96387279527391745</v>
      </c>
    </row>
    <row r="14" spans="1:33" ht="16.5" customHeight="1">
      <c r="A14" s="647" t="s">
        <v>1666</v>
      </c>
      <c r="B14" s="367" t="s">
        <v>22</v>
      </c>
      <c r="C14" s="640" t="s">
        <v>87</v>
      </c>
      <c r="D14" s="640"/>
      <c r="E14" s="29">
        <v>38.619999999999997</v>
      </c>
      <c r="F14" s="367">
        <v>2153</v>
      </c>
      <c r="G14" s="357">
        <f t="shared" si="15"/>
        <v>83148.86</v>
      </c>
      <c r="H14" s="33" t="s">
        <v>57</v>
      </c>
      <c r="I14" s="365">
        <v>24</v>
      </c>
      <c r="J14" s="31">
        <v>1500</v>
      </c>
      <c r="K14" s="12">
        <f t="shared" si="1"/>
        <v>62.5</v>
      </c>
      <c r="L14" s="365">
        <v>24</v>
      </c>
      <c r="M14" s="13">
        <f t="shared" si="16"/>
        <v>1435.3333333333333</v>
      </c>
      <c r="N14" s="12">
        <f t="shared" si="3"/>
        <v>59.80555555555555</v>
      </c>
      <c r="O14" s="14">
        <f t="shared" si="4"/>
        <v>0</v>
      </c>
      <c r="P14" s="15">
        <f t="shared" si="5"/>
        <v>-2.69444444444445</v>
      </c>
      <c r="Q14" s="356">
        <f t="shared" si="6"/>
        <v>0.95688888888888879</v>
      </c>
      <c r="R14" s="615"/>
      <c r="S14" s="34">
        <v>0.15347222222222223</v>
      </c>
      <c r="T14" s="34">
        <v>0.21597222222222223</v>
      </c>
      <c r="U14" s="357">
        <f t="shared" ref="U14:U19" si="18">IF(S14=TIME(17,0,0),"",(S14-T13)*24*60)</f>
        <v>29.000000000000018</v>
      </c>
      <c r="V14" s="366">
        <f t="shared" si="17"/>
        <v>90</v>
      </c>
      <c r="W14" s="16"/>
      <c r="X14" s="16"/>
      <c r="Y14" s="16"/>
      <c r="Z14" s="16"/>
      <c r="AA14" s="617"/>
      <c r="AB14" s="617"/>
      <c r="AC14" s="35"/>
      <c r="AD14" s="18"/>
      <c r="AE14" s="14">
        <f t="shared" si="8"/>
        <v>-64.666666666666742</v>
      </c>
      <c r="AF14" s="356">
        <f t="shared" si="9"/>
        <v>0.95688888888888879</v>
      </c>
      <c r="AG14" s="615"/>
    </row>
    <row r="15" spans="1:33" ht="16.5" customHeight="1">
      <c r="A15" s="647" t="s">
        <v>1666</v>
      </c>
      <c r="B15" s="367" t="s">
        <v>15</v>
      </c>
      <c r="C15" s="640" t="s">
        <v>86</v>
      </c>
      <c r="D15" s="640"/>
      <c r="E15" s="29">
        <v>37.03</v>
      </c>
      <c r="F15" s="367">
        <v>2872</v>
      </c>
      <c r="G15" s="357">
        <f t="shared" si="15"/>
        <v>106350.16</v>
      </c>
      <c r="H15" s="33" t="s">
        <v>57</v>
      </c>
      <c r="I15" s="365">
        <v>13</v>
      </c>
      <c r="J15" s="31">
        <v>1500</v>
      </c>
      <c r="K15" s="12">
        <f t="shared" si="1"/>
        <v>115.38461538461539</v>
      </c>
      <c r="L15" s="365">
        <v>13</v>
      </c>
      <c r="M15" s="13">
        <f t="shared" si="16"/>
        <v>1436</v>
      </c>
      <c r="N15" s="12">
        <f t="shared" si="3"/>
        <v>110.46153846153847</v>
      </c>
      <c r="O15" s="14">
        <f t="shared" si="4"/>
        <v>0</v>
      </c>
      <c r="P15" s="15">
        <f t="shared" si="5"/>
        <v>-4.9230769230769198</v>
      </c>
      <c r="Q15" s="356">
        <f t="shared" si="6"/>
        <v>0.95733333333333337</v>
      </c>
      <c r="R15" s="615"/>
      <c r="S15" s="34">
        <v>0.22013888888888891</v>
      </c>
      <c r="T15" s="34">
        <v>0.30347222222222225</v>
      </c>
      <c r="U15" s="357">
        <f t="shared" si="18"/>
        <v>6.0000000000000187</v>
      </c>
      <c r="V15" s="366">
        <f t="shared" si="17"/>
        <v>120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-64</v>
      </c>
      <c r="AF15" s="356">
        <f t="shared" si="9"/>
        <v>0.95733333333333337</v>
      </c>
      <c r="AG15" s="615"/>
    </row>
    <row r="16" spans="1:33" ht="16.5" customHeight="1">
      <c r="A16" s="647" t="s">
        <v>1666</v>
      </c>
      <c r="B16" s="367" t="s">
        <v>19</v>
      </c>
      <c r="C16" s="640" t="s">
        <v>267</v>
      </c>
      <c r="D16" s="640"/>
      <c r="E16" s="29">
        <v>39.520000000000003</v>
      </c>
      <c r="F16" s="367">
        <v>2103</v>
      </c>
      <c r="G16" s="357">
        <f t="shared" si="15"/>
        <v>83110.560000000012</v>
      </c>
      <c r="H16" s="33" t="s">
        <v>57</v>
      </c>
      <c r="I16" s="365">
        <v>19</v>
      </c>
      <c r="J16" s="31">
        <v>1500</v>
      </c>
      <c r="K16" s="12">
        <f t="shared" si="1"/>
        <v>78.94736842105263</v>
      </c>
      <c r="L16" s="365">
        <v>19</v>
      </c>
      <c r="M16" s="13">
        <f t="shared" si="16"/>
        <v>1433.8636363636365</v>
      </c>
      <c r="N16" s="12">
        <f t="shared" si="3"/>
        <v>75.466507177033506</v>
      </c>
      <c r="O16" s="14">
        <f t="shared" si="4"/>
        <v>0</v>
      </c>
      <c r="P16" s="15">
        <f t="shared" si="5"/>
        <v>-3.480861244019124</v>
      </c>
      <c r="Q16" s="356">
        <f t="shared" si="6"/>
        <v>0.95590909090909104</v>
      </c>
      <c r="R16" s="615"/>
      <c r="S16" s="34">
        <v>0.30694444444444446</v>
      </c>
      <c r="T16" s="34">
        <v>0.36805555555555558</v>
      </c>
      <c r="U16" s="357">
        <f t="shared" si="18"/>
        <v>4.9999999999999822</v>
      </c>
      <c r="V16" s="366">
        <f t="shared" si="17"/>
        <v>88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-66.136363636363512</v>
      </c>
      <c r="AF16" s="356">
        <f t="shared" si="9"/>
        <v>0.95590909090909104</v>
      </c>
      <c r="AG16" s="615"/>
    </row>
    <row r="17" spans="1:33" ht="16.5" customHeight="1">
      <c r="A17" s="647" t="s">
        <v>1666</v>
      </c>
      <c r="B17" s="367" t="s">
        <v>15</v>
      </c>
      <c r="C17" s="640" t="s">
        <v>25</v>
      </c>
      <c r="D17" s="640"/>
      <c r="E17" s="29">
        <v>53.68</v>
      </c>
      <c r="F17" s="367">
        <v>806</v>
      </c>
      <c r="G17" s="357">
        <f t="shared" si="15"/>
        <v>43266.080000000002</v>
      </c>
      <c r="H17" s="33" t="s">
        <v>57</v>
      </c>
      <c r="I17" s="365">
        <v>16</v>
      </c>
      <c r="J17" s="31">
        <v>1500</v>
      </c>
      <c r="K17" s="12">
        <f t="shared" si="1"/>
        <v>93.75</v>
      </c>
      <c r="L17" s="365">
        <v>16</v>
      </c>
      <c r="M17" s="13">
        <f t="shared" si="16"/>
        <v>1465.4545454545437</v>
      </c>
      <c r="N17" s="12">
        <f t="shared" si="3"/>
        <v>91.59090909090898</v>
      </c>
      <c r="O17" s="14">
        <f t="shared" si="4"/>
        <v>0</v>
      </c>
      <c r="P17" s="15">
        <f t="shared" si="5"/>
        <v>-2.1590909090910202</v>
      </c>
      <c r="Q17" s="356">
        <f t="shared" si="6"/>
        <v>0.97696969696969582</v>
      </c>
      <c r="R17" s="615"/>
      <c r="S17" s="34">
        <v>0.70833333333333337</v>
      </c>
      <c r="T17" s="34">
        <v>0.73125000000000007</v>
      </c>
      <c r="U17" s="357" t="str">
        <f t="shared" si="18"/>
        <v/>
      </c>
      <c r="V17" s="366">
        <f t="shared" si="17"/>
        <v>33.000000000000043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-34.545454545456323</v>
      </c>
      <c r="AF17" s="356">
        <f t="shared" si="9"/>
        <v>0.97696969696969582</v>
      </c>
      <c r="AG17" s="615"/>
    </row>
    <row r="18" spans="1:33" ht="16.5" customHeight="1">
      <c r="A18" s="647" t="s">
        <v>1666</v>
      </c>
      <c r="B18" s="367" t="s">
        <v>15</v>
      </c>
      <c r="C18" s="363" t="s">
        <v>18</v>
      </c>
      <c r="D18" s="364"/>
      <c r="E18" s="29">
        <v>52.86</v>
      </c>
      <c r="F18" s="367">
        <v>714</v>
      </c>
      <c r="G18" s="357">
        <f t="shared" si="15"/>
        <v>37742.04</v>
      </c>
      <c r="H18" s="33" t="s">
        <v>57</v>
      </c>
      <c r="I18" s="365">
        <v>16</v>
      </c>
      <c r="J18" s="31">
        <v>2000</v>
      </c>
      <c r="K18" s="12">
        <f t="shared" si="1"/>
        <v>125</v>
      </c>
      <c r="L18" s="365">
        <v>16</v>
      </c>
      <c r="M18" s="13">
        <f t="shared" si="16"/>
        <v>1947.2727272727341</v>
      </c>
      <c r="N18" s="12">
        <f t="shared" si="3"/>
        <v>121.70454545454588</v>
      </c>
      <c r="O18" s="14">
        <f t="shared" si="4"/>
        <v>0</v>
      </c>
      <c r="P18" s="15">
        <f t="shared" si="5"/>
        <v>-3.2954545454541204</v>
      </c>
      <c r="Q18" s="356">
        <f t="shared" si="6"/>
        <v>0.97363636363636707</v>
      </c>
      <c r="R18" s="615"/>
      <c r="S18" s="34">
        <v>0.73541666666666672</v>
      </c>
      <c r="T18" s="34">
        <v>0.75069444444444444</v>
      </c>
      <c r="U18" s="357">
        <f t="shared" si="18"/>
        <v>5.9999999999999787</v>
      </c>
      <c r="V18" s="366">
        <f t="shared" si="17"/>
        <v>21.999999999999922</v>
      </c>
      <c r="W18" s="16"/>
      <c r="X18" s="16"/>
      <c r="Y18" s="19"/>
      <c r="Z18" s="19"/>
      <c r="AA18" s="361"/>
      <c r="AB18" s="362"/>
      <c r="AC18" s="35"/>
      <c r="AD18" s="18"/>
      <c r="AE18" s="14">
        <f t="shared" si="8"/>
        <v>-52.727272727265927</v>
      </c>
      <c r="AF18" s="356">
        <f t="shared" si="9"/>
        <v>0.97363636363636707</v>
      </c>
      <c r="AG18" s="615"/>
    </row>
    <row r="19" spans="1:33" ht="16.5" customHeight="1">
      <c r="A19" s="647" t="s">
        <v>1666</v>
      </c>
      <c r="B19" s="367" t="s">
        <v>15</v>
      </c>
      <c r="C19" s="363" t="s">
        <v>16</v>
      </c>
      <c r="D19" s="364"/>
      <c r="E19" s="29">
        <v>50.67</v>
      </c>
      <c r="F19" s="367">
        <v>998</v>
      </c>
      <c r="G19" s="357">
        <f t="shared" si="15"/>
        <v>50568.66</v>
      </c>
      <c r="H19" s="33" t="s">
        <v>57</v>
      </c>
      <c r="I19" s="365">
        <v>17</v>
      </c>
      <c r="J19" s="31">
        <v>2000</v>
      </c>
      <c r="K19" s="12">
        <f t="shared" si="1"/>
        <v>117.64705882352941</v>
      </c>
      <c r="L19" s="365">
        <v>17</v>
      </c>
      <c r="M19" s="13">
        <f t="shared" si="16"/>
        <v>1931.6129032258036</v>
      </c>
      <c r="N19" s="12">
        <f t="shared" si="3"/>
        <v>113.62428842504727</v>
      </c>
      <c r="O19" s="14">
        <f t="shared" si="4"/>
        <v>0</v>
      </c>
      <c r="P19" s="15">
        <f t="shared" si="5"/>
        <v>-4.0227703984821375</v>
      </c>
      <c r="Q19" s="356">
        <f t="shared" si="6"/>
        <v>0.9658064516129018</v>
      </c>
      <c r="R19" s="615"/>
      <c r="S19" s="34">
        <v>0.75555555555555554</v>
      </c>
      <c r="T19" s="34">
        <v>0.77708333333333335</v>
      </c>
      <c r="U19" s="357">
        <f t="shared" si="18"/>
        <v>6.9999999999999751</v>
      </c>
      <c r="V19" s="366">
        <f t="shared" si="17"/>
        <v>31.00000000000005</v>
      </c>
      <c r="W19" s="16"/>
      <c r="X19" s="16"/>
      <c r="Y19" s="19"/>
      <c r="Z19" s="19"/>
      <c r="AA19" s="361"/>
      <c r="AB19" s="362"/>
      <c r="AC19" s="35"/>
      <c r="AD19" s="18"/>
      <c r="AE19" s="14">
        <f t="shared" si="8"/>
        <v>-68.38709677419638</v>
      </c>
      <c r="AF19" s="356">
        <f t="shared" si="9"/>
        <v>0.9658064516129018</v>
      </c>
      <c r="AG19" s="615"/>
    </row>
    <row r="20" spans="1:33" ht="16.5" customHeight="1">
      <c r="A20" s="647" t="s">
        <v>1666</v>
      </c>
      <c r="B20" s="29" t="s">
        <v>1664</v>
      </c>
      <c r="C20" s="618"/>
      <c r="D20" s="618"/>
      <c r="E20" s="358"/>
      <c r="F20" s="30"/>
      <c r="G20" s="12"/>
      <c r="H20" s="367"/>
      <c r="I20" s="23">
        <v>18.714285714285715</v>
      </c>
      <c r="J20" s="31">
        <v>1642.8571428571429</v>
      </c>
      <c r="K20" s="12">
        <f t="shared" si="1"/>
        <v>87.786259541984734</v>
      </c>
      <c r="L20" s="23">
        <v>18.714285714285715</v>
      </c>
      <c r="M20" s="13">
        <f>AVERAGE(M13:M19)</f>
        <v>1583.5053065214358</v>
      </c>
      <c r="N20" s="12">
        <f t="shared" si="3"/>
        <v>84.614787371374433</v>
      </c>
      <c r="O20" s="14">
        <f t="shared" si="4"/>
        <v>0</v>
      </c>
      <c r="P20" s="15">
        <f t="shared" si="5"/>
        <v>-3.1714721706103006</v>
      </c>
      <c r="Q20" s="356">
        <f t="shared" si="6"/>
        <v>0.96387279527391745</v>
      </c>
      <c r="R20" s="615"/>
      <c r="S20" s="34"/>
      <c r="T20" s="34"/>
      <c r="U20" s="357"/>
      <c r="V20" s="366"/>
      <c r="W20" s="12"/>
      <c r="X20" s="12"/>
      <c r="Y20" s="24">
        <f>SUM(Y13:Y19)</f>
        <v>0</v>
      </c>
      <c r="Z20" s="24">
        <f>SUM(Z13:Z19)</f>
        <v>0</v>
      </c>
      <c r="AA20" s="614"/>
      <c r="AB20" s="614"/>
      <c r="AC20" s="24">
        <v>7</v>
      </c>
      <c r="AD20" s="24">
        <f>SUM(AD13:AD19)</f>
        <v>0</v>
      </c>
      <c r="AE20" s="14">
        <f t="shared" si="8"/>
        <v>-59.351836335707048</v>
      </c>
      <c r="AF20" s="356">
        <f t="shared" si="9"/>
        <v>0.96387279527391745</v>
      </c>
      <c r="AG20" s="615"/>
    </row>
    <row r="21" spans="1:33" ht="15.75" customHeight="1">
      <c r="A21" s="642" t="s">
        <v>1667</v>
      </c>
      <c r="B21" s="29" t="s">
        <v>15</v>
      </c>
      <c r="C21" s="640" t="s">
        <v>24</v>
      </c>
      <c r="D21" s="640"/>
      <c r="E21" s="29">
        <v>54.09</v>
      </c>
      <c r="F21" s="367">
        <v>1074</v>
      </c>
      <c r="G21" s="357">
        <f t="shared" ref="G21:G27" si="19">E21*F21</f>
        <v>58092.66</v>
      </c>
      <c r="H21" s="33" t="s">
        <v>57</v>
      </c>
      <c r="I21" s="365">
        <v>17</v>
      </c>
      <c r="J21" s="31">
        <v>1500</v>
      </c>
      <c r="K21" s="12">
        <f t="shared" si="1"/>
        <v>88.235294117647058</v>
      </c>
      <c r="L21" s="365">
        <v>17</v>
      </c>
      <c r="M21" s="13">
        <f t="shared" ref="M21:M27" si="20">F21/V21*60</f>
        <v>1432</v>
      </c>
      <c r="N21" s="12">
        <f t="shared" si="3"/>
        <v>84.235294117647058</v>
      </c>
      <c r="O21" s="14">
        <f t="shared" si="4"/>
        <v>0</v>
      </c>
      <c r="P21" s="15">
        <f t="shared" si="5"/>
        <v>-4</v>
      </c>
      <c r="Q21" s="356">
        <f t="shared" si="6"/>
        <v>0.95466666666666666</v>
      </c>
      <c r="R21" s="615">
        <f>Q28</f>
        <v>0.96075562509478385</v>
      </c>
      <c r="S21" s="34">
        <v>0.20833333333333334</v>
      </c>
      <c r="T21" s="34">
        <v>0.23958333333333334</v>
      </c>
      <c r="U21" s="357"/>
      <c r="V21" s="366">
        <f t="shared" ref="V21:V27" si="21">(T21-S21)*24*60</f>
        <v>45</v>
      </c>
      <c r="W21" s="21"/>
      <c r="X21" s="21"/>
      <c r="Y21" s="21"/>
      <c r="Z21" s="21"/>
      <c r="AA21" s="617"/>
      <c r="AB21" s="617"/>
      <c r="AC21" s="35">
        <v>7</v>
      </c>
      <c r="AD21" s="18"/>
      <c r="AE21" s="14">
        <f t="shared" si="8"/>
        <v>-68</v>
      </c>
      <c r="AF21" s="356">
        <f t="shared" si="9"/>
        <v>0.95466666666666666</v>
      </c>
      <c r="AG21" s="615">
        <f>AF28</f>
        <v>0.96075562509478396</v>
      </c>
    </row>
    <row r="22" spans="1:33" ht="15.75" customHeight="1">
      <c r="A22" s="643" t="s">
        <v>1667</v>
      </c>
      <c r="B22" s="29" t="s">
        <v>15</v>
      </c>
      <c r="C22" s="640" t="s">
        <v>28</v>
      </c>
      <c r="D22" s="640"/>
      <c r="E22" s="29">
        <v>50.67</v>
      </c>
      <c r="F22" s="367">
        <v>2185</v>
      </c>
      <c r="G22" s="357">
        <f t="shared" si="19"/>
        <v>110713.95</v>
      </c>
      <c r="H22" s="33" t="s">
        <v>57</v>
      </c>
      <c r="I22" s="365">
        <v>17</v>
      </c>
      <c r="J22" s="31">
        <v>2000</v>
      </c>
      <c r="K22" s="12">
        <f t="shared" si="1"/>
        <v>117.64705882352941</v>
      </c>
      <c r="L22" s="365">
        <v>17</v>
      </c>
      <c r="M22" s="13">
        <f t="shared" si="20"/>
        <v>1927.9411764705883</v>
      </c>
      <c r="N22" s="12">
        <f t="shared" si="3"/>
        <v>113.4083044982699</v>
      </c>
      <c r="O22" s="14">
        <f t="shared" si="4"/>
        <v>0</v>
      </c>
      <c r="P22" s="15">
        <f t="shared" si="5"/>
        <v>-4.2387543252595066</v>
      </c>
      <c r="Q22" s="356">
        <f t="shared" si="6"/>
        <v>0.96397058823529425</v>
      </c>
      <c r="R22" s="615"/>
      <c r="S22" s="34">
        <v>0.24375000000000002</v>
      </c>
      <c r="T22" s="34">
        <v>0.29097222222222224</v>
      </c>
      <c r="U22" s="357">
        <f t="shared" ref="U22:U27" si="22">IF(S22=TIME(17,0,0),"",(S22-T21)*24*60)</f>
        <v>6.0000000000000187</v>
      </c>
      <c r="V22" s="366">
        <f t="shared" si="21"/>
        <v>68</v>
      </c>
      <c r="W22" s="16"/>
      <c r="X22" s="357"/>
      <c r="Y22" s="357"/>
      <c r="Z22" s="357"/>
      <c r="AA22" s="617"/>
      <c r="AB22" s="617"/>
      <c r="AC22" s="35"/>
      <c r="AD22" s="18"/>
      <c r="AE22" s="14">
        <f t="shared" si="8"/>
        <v>-72.058823529411711</v>
      </c>
      <c r="AF22" s="356">
        <f t="shared" si="9"/>
        <v>0.96397058823529413</v>
      </c>
      <c r="AG22" s="615"/>
    </row>
    <row r="23" spans="1:33" ht="15.75" customHeight="1">
      <c r="A23" s="643" t="s">
        <v>1667</v>
      </c>
      <c r="B23" s="29" t="s">
        <v>15</v>
      </c>
      <c r="C23" s="640" t="s">
        <v>29</v>
      </c>
      <c r="D23" s="640"/>
      <c r="E23" s="29">
        <v>57.73</v>
      </c>
      <c r="F23" s="367">
        <v>2286</v>
      </c>
      <c r="G23" s="357">
        <f t="shared" si="19"/>
        <v>131970.78</v>
      </c>
      <c r="H23" s="33" t="s">
        <v>57</v>
      </c>
      <c r="I23" s="365">
        <v>14</v>
      </c>
      <c r="J23" s="31">
        <v>2000</v>
      </c>
      <c r="K23" s="12">
        <f t="shared" si="1"/>
        <v>142.85714285714286</v>
      </c>
      <c r="L23" s="365">
        <v>14</v>
      </c>
      <c r="M23" s="13">
        <f t="shared" si="20"/>
        <v>1905.0000000000005</v>
      </c>
      <c r="N23" s="12">
        <f t="shared" si="3"/>
        <v>136.07142857142861</v>
      </c>
      <c r="O23" s="14">
        <f t="shared" si="4"/>
        <v>0</v>
      </c>
      <c r="P23" s="15">
        <f t="shared" si="5"/>
        <v>-6.7857142857142492</v>
      </c>
      <c r="Q23" s="356">
        <f t="shared" si="6"/>
        <v>0.95250000000000024</v>
      </c>
      <c r="R23" s="615"/>
      <c r="S23" s="34">
        <v>0.29444444444444445</v>
      </c>
      <c r="T23" s="34">
        <v>0.34444444444444444</v>
      </c>
      <c r="U23" s="357">
        <f t="shared" si="22"/>
        <v>4.9999999999999822</v>
      </c>
      <c r="V23" s="366">
        <f t="shared" si="21"/>
        <v>71.999999999999986</v>
      </c>
      <c r="W23" s="16"/>
      <c r="X23" s="357"/>
      <c r="Y23" s="357"/>
      <c r="Z23" s="357"/>
      <c r="AA23" s="617"/>
      <c r="AB23" s="617"/>
      <c r="AC23" s="35"/>
      <c r="AD23" s="18"/>
      <c r="AE23" s="14">
        <f t="shared" si="8"/>
        <v>-94.999999999999545</v>
      </c>
      <c r="AF23" s="356">
        <f t="shared" si="9"/>
        <v>0.95250000000000024</v>
      </c>
      <c r="AG23" s="615"/>
    </row>
    <row r="24" spans="1:33" ht="15.75" customHeight="1">
      <c r="A24" s="643" t="s">
        <v>1667</v>
      </c>
      <c r="B24" s="29" t="s">
        <v>15</v>
      </c>
      <c r="C24" s="640" t="s">
        <v>80</v>
      </c>
      <c r="D24" s="640"/>
      <c r="E24" s="29">
        <v>53.27</v>
      </c>
      <c r="F24" s="367">
        <v>1234</v>
      </c>
      <c r="G24" s="357">
        <f t="shared" si="19"/>
        <v>65735.180000000008</v>
      </c>
      <c r="H24" s="33" t="s">
        <v>57</v>
      </c>
      <c r="I24" s="365">
        <v>16</v>
      </c>
      <c r="J24" s="31">
        <v>2000</v>
      </c>
      <c r="K24" s="12">
        <f t="shared" si="1"/>
        <v>125</v>
      </c>
      <c r="L24" s="365">
        <v>16</v>
      </c>
      <c r="M24" s="13">
        <f t="shared" si="20"/>
        <v>1948.4210526315776</v>
      </c>
      <c r="N24" s="12">
        <f t="shared" si="3"/>
        <v>121.7763157894736</v>
      </c>
      <c r="O24" s="14">
        <f t="shared" si="4"/>
        <v>0</v>
      </c>
      <c r="P24" s="15">
        <f t="shared" si="5"/>
        <v>-3.2236842105264003</v>
      </c>
      <c r="Q24" s="356">
        <f t="shared" si="6"/>
        <v>0.97421052631578875</v>
      </c>
      <c r="R24" s="615"/>
      <c r="S24" s="34">
        <v>0.35</v>
      </c>
      <c r="T24" s="34">
        <v>0.37638888888888888</v>
      </c>
      <c r="U24" s="357">
        <f t="shared" si="22"/>
        <v>7.9999999999999716</v>
      </c>
      <c r="V24" s="366">
        <f t="shared" si="21"/>
        <v>38.000000000000028</v>
      </c>
      <c r="W24" s="16"/>
      <c r="X24" s="357"/>
      <c r="Y24" s="357"/>
      <c r="Z24" s="357"/>
      <c r="AA24" s="617"/>
      <c r="AB24" s="617"/>
      <c r="AC24" s="35"/>
      <c r="AD24" s="18"/>
      <c r="AE24" s="14">
        <f t="shared" si="8"/>
        <v>-51.578947368422405</v>
      </c>
      <c r="AF24" s="356">
        <f t="shared" si="9"/>
        <v>0.97421052631578875</v>
      </c>
      <c r="AG24" s="615"/>
    </row>
    <row r="25" spans="1:33" ht="15.75" customHeight="1">
      <c r="A25" s="643" t="s">
        <v>1667</v>
      </c>
      <c r="B25" s="29" t="s">
        <v>15</v>
      </c>
      <c r="C25" s="640" t="s">
        <v>1472</v>
      </c>
      <c r="D25" s="640"/>
      <c r="E25" s="29">
        <v>51.44</v>
      </c>
      <c r="F25" s="367">
        <v>2660</v>
      </c>
      <c r="G25" s="357">
        <f t="shared" si="19"/>
        <v>136830.39999999999</v>
      </c>
      <c r="H25" s="33" t="s">
        <v>57</v>
      </c>
      <c r="I25" s="365">
        <v>25</v>
      </c>
      <c r="J25" s="31">
        <v>2000</v>
      </c>
      <c r="K25" s="12">
        <f t="shared" si="1"/>
        <v>80</v>
      </c>
      <c r="L25" s="365">
        <v>25</v>
      </c>
      <c r="M25" s="13">
        <f t="shared" si="20"/>
        <v>1899.9999999999995</v>
      </c>
      <c r="N25" s="12">
        <f t="shared" si="3"/>
        <v>75.999999999999986</v>
      </c>
      <c r="O25" s="14">
        <f t="shared" si="4"/>
        <v>0</v>
      </c>
      <c r="P25" s="15">
        <f t="shared" si="5"/>
        <v>-4.0000000000000142</v>
      </c>
      <c r="Q25" s="356">
        <f t="shared" si="6"/>
        <v>0.94999999999999984</v>
      </c>
      <c r="R25" s="615"/>
      <c r="S25" s="34">
        <v>0.38055555555555554</v>
      </c>
      <c r="T25" s="34">
        <v>0.43888888888888888</v>
      </c>
      <c r="U25" s="357">
        <f t="shared" si="22"/>
        <v>5.9999999999999787</v>
      </c>
      <c r="V25" s="366">
        <f t="shared" si="21"/>
        <v>84.000000000000028</v>
      </c>
      <c r="W25" s="16"/>
      <c r="X25" s="16"/>
      <c r="Y25" s="357"/>
      <c r="Z25" s="357"/>
      <c r="AA25" s="617"/>
      <c r="AB25" s="617"/>
      <c r="AC25" s="35"/>
      <c r="AD25" s="18"/>
      <c r="AE25" s="14">
        <f t="shared" si="8"/>
        <v>-100.00000000000045</v>
      </c>
      <c r="AF25" s="356">
        <f t="shared" si="9"/>
        <v>0.94999999999999973</v>
      </c>
      <c r="AG25" s="615"/>
    </row>
    <row r="26" spans="1:33" ht="15.75" customHeight="1">
      <c r="A26" s="643" t="s">
        <v>1667</v>
      </c>
      <c r="B26" s="29" t="s">
        <v>15</v>
      </c>
      <c r="C26" s="640" t="s">
        <v>30</v>
      </c>
      <c r="D26" s="640"/>
      <c r="E26" s="29">
        <v>50.49</v>
      </c>
      <c r="F26" s="367">
        <v>1127</v>
      </c>
      <c r="G26" s="357">
        <f t="shared" si="19"/>
        <v>56902.23</v>
      </c>
      <c r="H26" s="33" t="s">
        <v>57</v>
      </c>
      <c r="I26" s="365">
        <v>15</v>
      </c>
      <c r="J26" s="31">
        <v>2000</v>
      </c>
      <c r="K26" s="12">
        <f t="shared" si="1"/>
        <v>133.33333333333334</v>
      </c>
      <c r="L26" s="365">
        <v>15</v>
      </c>
      <c r="M26" s="13">
        <f t="shared" si="20"/>
        <v>1931.999999999998</v>
      </c>
      <c r="N26" s="12">
        <f t="shared" si="3"/>
        <v>128.79999999999987</v>
      </c>
      <c r="O26" s="14">
        <f t="shared" si="4"/>
        <v>0</v>
      </c>
      <c r="P26" s="15">
        <f t="shared" si="5"/>
        <v>-4.5333333333334735</v>
      </c>
      <c r="Q26" s="356">
        <f t="shared" si="6"/>
        <v>0.96599999999999897</v>
      </c>
      <c r="R26" s="615"/>
      <c r="S26" s="34">
        <v>0.70833333333333337</v>
      </c>
      <c r="T26" s="34">
        <v>0.73263888888888895</v>
      </c>
      <c r="U26" s="357" t="str">
        <f t="shared" si="22"/>
        <v/>
      </c>
      <c r="V26" s="366">
        <f t="shared" si="21"/>
        <v>35.000000000000036</v>
      </c>
      <c r="W26" s="16"/>
      <c r="X26" s="21"/>
      <c r="Y26" s="21"/>
      <c r="Z26" s="21"/>
      <c r="AA26" s="617"/>
      <c r="AB26" s="617"/>
      <c r="AC26" s="35"/>
      <c r="AD26" s="18"/>
      <c r="AE26" s="14">
        <f t="shared" si="8"/>
        <v>-68.000000000002046</v>
      </c>
      <c r="AF26" s="356">
        <f t="shared" si="9"/>
        <v>0.96599999999999897</v>
      </c>
      <c r="AG26" s="615"/>
    </row>
    <row r="27" spans="1:33" ht="15.75" customHeight="1">
      <c r="A27" s="643" t="s">
        <v>1668</v>
      </c>
      <c r="B27" s="29" t="s">
        <v>15</v>
      </c>
      <c r="C27" s="666" t="s">
        <v>82</v>
      </c>
      <c r="D27" s="667"/>
      <c r="E27" s="29">
        <v>51.06</v>
      </c>
      <c r="F27" s="367">
        <v>1989</v>
      </c>
      <c r="G27" s="357">
        <f t="shared" si="19"/>
        <v>101558.34000000001</v>
      </c>
      <c r="H27" s="33" t="s">
        <v>57</v>
      </c>
      <c r="I27" s="365">
        <v>13</v>
      </c>
      <c r="J27" s="31">
        <v>2000</v>
      </c>
      <c r="K27" s="12">
        <f t="shared" si="1"/>
        <v>153.84615384615384</v>
      </c>
      <c r="L27" s="365">
        <v>13</v>
      </c>
      <c r="M27" s="13">
        <f t="shared" si="20"/>
        <v>1924.8387096774209</v>
      </c>
      <c r="N27" s="12">
        <f t="shared" si="3"/>
        <v>148.06451612903237</v>
      </c>
      <c r="O27" s="14">
        <f t="shared" si="4"/>
        <v>0</v>
      </c>
      <c r="P27" s="15">
        <f t="shared" si="5"/>
        <v>-5.7816377171214697</v>
      </c>
      <c r="Q27" s="356">
        <f t="shared" si="6"/>
        <v>0.96241935483871044</v>
      </c>
      <c r="R27" s="615"/>
      <c r="S27" s="34">
        <v>0.73611111111111116</v>
      </c>
      <c r="T27" s="34">
        <v>0.77916666666666667</v>
      </c>
      <c r="U27" s="357">
        <f t="shared" si="22"/>
        <v>4.9999999999999822</v>
      </c>
      <c r="V27" s="366">
        <f t="shared" si="21"/>
        <v>61.999999999999943</v>
      </c>
      <c r="W27" s="16"/>
      <c r="X27" s="21"/>
      <c r="Y27" s="22"/>
      <c r="Z27" s="22"/>
      <c r="AA27" s="624"/>
      <c r="AB27" s="625"/>
      <c r="AC27" s="35"/>
      <c r="AD27" s="18"/>
      <c r="AE27" s="14">
        <f t="shared" si="8"/>
        <v>-75.161290322579134</v>
      </c>
      <c r="AF27" s="356">
        <f t="shared" si="9"/>
        <v>0.96241935483871044</v>
      </c>
      <c r="AG27" s="615"/>
    </row>
    <row r="28" spans="1:33" ht="15.75" customHeight="1">
      <c r="A28" s="643" t="s">
        <v>1667</v>
      </c>
      <c r="B28" s="29" t="s">
        <v>1664</v>
      </c>
      <c r="C28" s="618"/>
      <c r="D28" s="618"/>
      <c r="E28" s="358"/>
      <c r="F28" s="367"/>
      <c r="G28" s="357"/>
      <c r="H28" s="367"/>
      <c r="I28" s="23">
        <v>16.714285714285715</v>
      </c>
      <c r="J28" s="31">
        <v>1928.5714285714287</v>
      </c>
      <c r="K28" s="12">
        <f t="shared" si="1"/>
        <v>115.38461538461539</v>
      </c>
      <c r="L28" s="23">
        <v>16.714285714285715</v>
      </c>
      <c r="M28" s="13">
        <f>AVERAGE(M21:M27)</f>
        <v>1852.8858483970835</v>
      </c>
      <c r="N28" s="12">
        <f t="shared" si="3"/>
        <v>110.85641828016738</v>
      </c>
      <c r="O28" s="14">
        <f t="shared" si="4"/>
        <v>0</v>
      </c>
      <c r="P28" s="15">
        <f t="shared" si="5"/>
        <v>-4.5281971044480116</v>
      </c>
      <c r="Q28" s="356">
        <f t="shared" si="6"/>
        <v>0.96075562509478385</v>
      </c>
      <c r="R28" s="615"/>
      <c r="S28" s="34"/>
      <c r="T28" s="34"/>
      <c r="U28" s="12"/>
      <c r="V28" s="366"/>
      <c r="W28" s="12"/>
      <c r="X28" s="12"/>
      <c r="Y28" s="24">
        <f>SUM(Y21:Y27)</f>
        <v>0</v>
      </c>
      <c r="Z28" s="24">
        <f>SUM(Z21:Z27)</f>
        <v>0</v>
      </c>
      <c r="AA28" s="614"/>
      <c r="AB28" s="614"/>
      <c r="AC28" s="24">
        <v>7</v>
      </c>
      <c r="AD28" s="24">
        <f>SUM(AD21:AD27)</f>
        <v>0</v>
      </c>
      <c r="AE28" s="14">
        <f t="shared" si="8"/>
        <v>-75.685580174345205</v>
      </c>
      <c r="AF28" s="356">
        <f t="shared" si="9"/>
        <v>0.96075562509478396</v>
      </c>
      <c r="AG28" s="615"/>
    </row>
    <row r="29" spans="1:33" ht="15.75" customHeight="1">
      <c r="A29" s="641" t="s">
        <v>1669</v>
      </c>
      <c r="B29" s="29" t="s">
        <v>32</v>
      </c>
      <c r="C29" s="640" t="s">
        <v>33</v>
      </c>
      <c r="D29" s="640"/>
      <c r="E29" s="29">
        <v>31.29</v>
      </c>
      <c r="F29" s="367">
        <v>6591</v>
      </c>
      <c r="G29" s="357">
        <f t="shared" ref="G29:G33" si="23">E29*F29</f>
        <v>206232.38999999998</v>
      </c>
      <c r="H29" s="33" t="s">
        <v>57</v>
      </c>
      <c r="I29" s="365">
        <v>18</v>
      </c>
      <c r="J29" s="31">
        <v>2400</v>
      </c>
      <c r="K29" s="12">
        <f t="shared" si="1"/>
        <v>133.33333333333334</v>
      </c>
      <c r="L29" s="365">
        <v>18</v>
      </c>
      <c r="M29" s="13">
        <f t="shared" ref="M29:M33" si="24">F29/V29*60</f>
        <v>2285.8959537572255</v>
      </c>
      <c r="N29" s="12">
        <f t="shared" si="3"/>
        <v>126.99421965317919</v>
      </c>
      <c r="O29" s="14">
        <f t="shared" si="4"/>
        <v>0</v>
      </c>
      <c r="P29" s="15">
        <f t="shared" si="5"/>
        <v>-6.3391136801541563</v>
      </c>
      <c r="Q29" s="356">
        <f t="shared" si="6"/>
        <v>0.95245664739884384</v>
      </c>
      <c r="R29" s="615">
        <f>Q34</f>
        <v>0.95517008823852745</v>
      </c>
      <c r="S29" s="34">
        <v>8.3333333333333329E-2</v>
      </c>
      <c r="T29" s="34">
        <v>0.20347222222222222</v>
      </c>
      <c r="U29" s="357"/>
      <c r="V29" s="366">
        <f t="shared" ref="V29:V33" si="25">(T29-S29)*24*60</f>
        <v>173</v>
      </c>
      <c r="W29" s="16">
        <f>T29</f>
        <v>0.20347222222222222</v>
      </c>
      <c r="X29" s="16">
        <f>S30</f>
        <v>0.2208333333333333</v>
      </c>
      <c r="Y29" s="16"/>
      <c r="Z29" s="16"/>
      <c r="AA29" s="617"/>
      <c r="AB29" s="617"/>
      <c r="AC29" s="35">
        <v>5</v>
      </c>
      <c r="AD29" s="18"/>
      <c r="AE29" s="14">
        <f t="shared" si="8"/>
        <v>-114.10404624277453</v>
      </c>
      <c r="AF29" s="356">
        <f t="shared" si="9"/>
        <v>0.95245664739884395</v>
      </c>
      <c r="AG29" s="615">
        <f>AF34</f>
        <v>0.95517008823852734</v>
      </c>
    </row>
    <row r="30" spans="1:33" ht="15.75" customHeight="1">
      <c r="A30" s="641" t="s">
        <v>1670</v>
      </c>
      <c r="B30" s="29" t="s">
        <v>32</v>
      </c>
      <c r="C30" s="640" t="s">
        <v>34</v>
      </c>
      <c r="D30" s="640"/>
      <c r="E30" s="29">
        <v>26.37</v>
      </c>
      <c r="F30" s="367">
        <v>4773</v>
      </c>
      <c r="G30" s="357">
        <f t="shared" si="23"/>
        <v>125864.01000000001</v>
      </c>
      <c r="H30" s="33" t="s">
        <v>57</v>
      </c>
      <c r="I30" s="365">
        <v>18</v>
      </c>
      <c r="J30" s="31">
        <v>2400</v>
      </c>
      <c r="K30" s="12">
        <f t="shared" si="1"/>
        <v>133.33333333333334</v>
      </c>
      <c r="L30" s="365">
        <v>18</v>
      </c>
      <c r="M30" s="13">
        <f t="shared" si="24"/>
        <v>2291.0400000000004</v>
      </c>
      <c r="N30" s="12">
        <f t="shared" si="3"/>
        <v>127.28000000000003</v>
      </c>
      <c r="O30" s="14">
        <f t="shared" si="4"/>
        <v>0</v>
      </c>
      <c r="P30" s="15">
        <f t="shared" si="5"/>
        <v>-6.0533333333333132</v>
      </c>
      <c r="Q30" s="356">
        <f t="shared" si="6"/>
        <v>0.95460000000000012</v>
      </c>
      <c r="R30" s="615"/>
      <c r="S30" s="34">
        <v>0.2208333333333333</v>
      </c>
      <c r="T30" s="34">
        <v>0.30763888888888885</v>
      </c>
      <c r="U30" s="357">
        <f t="shared" ref="U30:U33" si="26">(S30-T29)*24*60</f>
        <v>24.99999999999995</v>
      </c>
      <c r="V30" s="366">
        <f t="shared" si="25"/>
        <v>124.99999999999999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-108.95999999999958</v>
      </c>
      <c r="AF30" s="356">
        <f t="shared" si="9"/>
        <v>0.95460000000000023</v>
      </c>
      <c r="AG30" s="615"/>
    </row>
    <row r="31" spans="1:33" ht="15.75" customHeight="1">
      <c r="A31" s="641" t="s">
        <v>1670</v>
      </c>
      <c r="B31" s="29" t="s">
        <v>32</v>
      </c>
      <c r="C31" s="640" t="s">
        <v>76</v>
      </c>
      <c r="D31" s="640"/>
      <c r="E31" s="29">
        <v>26.18</v>
      </c>
      <c r="F31" s="367">
        <v>5644</v>
      </c>
      <c r="G31" s="357">
        <f t="shared" si="23"/>
        <v>147759.92000000001</v>
      </c>
      <c r="H31" s="33" t="s">
        <v>57</v>
      </c>
      <c r="I31" s="365">
        <v>18</v>
      </c>
      <c r="J31" s="31">
        <v>2400</v>
      </c>
      <c r="K31" s="12">
        <f t="shared" si="1"/>
        <v>133.33333333333334</v>
      </c>
      <c r="L31" s="365">
        <v>18</v>
      </c>
      <c r="M31" s="13">
        <f t="shared" si="24"/>
        <v>2288.1081081081079</v>
      </c>
      <c r="N31" s="12">
        <f t="shared" si="3"/>
        <v>127.1171171171171</v>
      </c>
      <c r="O31" s="14">
        <f t="shared" si="4"/>
        <v>0</v>
      </c>
      <c r="P31" s="15">
        <f t="shared" si="5"/>
        <v>-6.2162162162162389</v>
      </c>
      <c r="Q31" s="356">
        <f t="shared" si="6"/>
        <v>0.95337837837837824</v>
      </c>
      <c r="R31" s="615"/>
      <c r="S31" s="34">
        <v>0.31319444444444439</v>
      </c>
      <c r="T31" s="34">
        <v>0.41597222222222219</v>
      </c>
      <c r="U31" s="357">
        <f t="shared" si="26"/>
        <v>7.9999999999999716</v>
      </c>
      <c r="V31" s="366">
        <f t="shared" si="25"/>
        <v>148.00000000000003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-111.8918918918921</v>
      </c>
      <c r="AF31" s="356">
        <f t="shared" si="9"/>
        <v>0.95337837837837824</v>
      </c>
      <c r="AG31" s="615"/>
    </row>
    <row r="32" spans="1:33" ht="15.75" customHeight="1">
      <c r="A32" s="641" t="s">
        <v>1669</v>
      </c>
      <c r="B32" s="29" t="s">
        <v>32</v>
      </c>
      <c r="C32" s="640" t="s">
        <v>79</v>
      </c>
      <c r="D32" s="640"/>
      <c r="E32" s="29">
        <v>25.99</v>
      </c>
      <c r="F32" s="367">
        <v>1411</v>
      </c>
      <c r="G32" s="357">
        <f t="shared" si="23"/>
        <v>36671.89</v>
      </c>
      <c r="H32" s="33" t="s">
        <v>57</v>
      </c>
      <c r="I32" s="365">
        <v>18</v>
      </c>
      <c r="J32" s="31">
        <v>2400</v>
      </c>
      <c r="K32" s="12">
        <f t="shared" si="1"/>
        <v>133.33333333333334</v>
      </c>
      <c r="L32" s="365">
        <v>18</v>
      </c>
      <c r="M32" s="13">
        <f t="shared" si="24"/>
        <v>2288.1081081081065</v>
      </c>
      <c r="N32" s="12">
        <f t="shared" si="3"/>
        <v>127.11711711711703</v>
      </c>
      <c r="O32" s="14">
        <f t="shared" si="4"/>
        <v>0</v>
      </c>
      <c r="P32" s="15">
        <f t="shared" si="5"/>
        <v>-6.2162162162163099</v>
      </c>
      <c r="Q32" s="356">
        <f t="shared" si="6"/>
        <v>0.95337837837837769</v>
      </c>
      <c r="R32" s="615"/>
      <c r="S32" s="34">
        <v>0.42013888888888884</v>
      </c>
      <c r="T32" s="34">
        <v>0.4458333333333333</v>
      </c>
      <c r="U32" s="357">
        <f t="shared" si="26"/>
        <v>5.9999999999999787</v>
      </c>
      <c r="V32" s="366">
        <f t="shared" si="25"/>
        <v>37.000000000000028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-111.89189189189347</v>
      </c>
      <c r="AF32" s="356">
        <f t="shared" si="9"/>
        <v>0.95337837837837769</v>
      </c>
      <c r="AG32" s="615"/>
    </row>
    <row r="33" spans="1:33" ht="15.75" customHeight="1">
      <c r="A33" s="641" t="s">
        <v>1670</v>
      </c>
      <c r="B33" s="29" t="s">
        <v>32</v>
      </c>
      <c r="C33" s="640" t="s">
        <v>35</v>
      </c>
      <c r="D33" s="640"/>
      <c r="E33" s="29">
        <v>25.99</v>
      </c>
      <c r="F33" s="367">
        <v>3117</v>
      </c>
      <c r="G33" s="357">
        <f t="shared" si="23"/>
        <v>81010.83</v>
      </c>
      <c r="H33" s="33" t="s">
        <v>57</v>
      </c>
      <c r="I33" s="365">
        <v>14</v>
      </c>
      <c r="J33" s="31">
        <v>2400</v>
      </c>
      <c r="K33" s="12">
        <f t="shared" si="1"/>
        <v>171.42857142857142</v>
      </c>
      <c r="L33" s="365">
        <v>14</v>
      </c>
      <c r="M33" s="13">
        <f t="shared" si="24"/>
        <v>2308.8888888888878</v>
      </c>
      <c r="N33" s="12">
        <f t="shared" si="3"/>
        <v>164.92063492063485</v>
      </c>
      <c r="O33" s="14">
        <f t="shared" si="4"/>
        <v>0</v>
      </c>
      <c r="P33" s="15">
        <f t="shared" si="5"/>
        <v>-6.507936507936563</v>
      </c>
      <c r="Q33" s="356">
        <f t="shared" si="6"/>
        <v>0.96203703703703669</v>
      </c>
      <c r="R33" s="615"/>
      <c r="S33" s="34">
        <v>0.44930555555555551</v>
      </c>
      <c r="T33" s="34">
        <v>0.50555555555555554</v>
      </c>
      <c r="U33" s="357">
        <f t="shared" si="26"/>
        <v>4.9999999999999822</v>
      </c>
      <c r="V33" s="366">
        <f t="shared" si="25"/>
        <v>81.000000000000028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-91.111111111112223</v>
      </c>
      <c r="AF33" s="356">
        <f t="shared" si="9"/>
        <v>0.96203703703703658</v>
      </c>
      <c r="AG33" s="615"/>
    </row>
    <row r="34" spans="1:33" ht="15.75" customHeight="1">
      <c r="A34" s="641" t="s">
        <v>1670</v>
      </c>
      <c r="B34" s="29" t="s">
        <v>1664</v>
      </c>
      <c r="C34" s="618"/>
      <c r="D34" s="618"/>
      <c r="E34" s="358"/>
      <c r="F34" s="367"/>
      <c r="G34" s="357"/>
      <c r="H34" s="367"/>
      <c r="I34" s="23">
        <v>17.2</v>
      </c>
      <c r="J34" s="31">
        <v>2400</v>
      </c>
      <c r="K34" s="12">
        <f t="shared" si="1"/>
        <v>139.53488372093022</v>
      </c>
      <c r="L34" s="23">
        <v>17.2</v>
      </c>
      <c r="M34" s="13">
        <f>AVERAGE(M29:M33)</f>
        <v>2292.4082117724656</v>
      </c>
      <c r="N34" s="12">
        <f t="shared" si="3"/>
        <v>133.27954719607359</v>
      </c>
      <c r="O34" s="14">
        <f t="shared" si="4"/>
        <v>0</v>
      </c>
      <c r="P34" s="15">
        <f t="shared" si="5"/>
        <v>-6.2553365248566308</v>
      </c>
      <c r="Q34" s="356">
        <f t="shared" si="6"/>
        <v>0.95517008823852745</v>
      </c>
      <c r="R34" s="615"/>
      <c r="S34" s="34"/>
      <c r="T34" s="34"/>
      <c r="U34" s="357"/>
      <c r="V34" s="366"/>
      <c r="W34" s="357"/>
      <c r="X34" s="357"/>
      <c r="Y34" s="24">
        <f>SUM(Y29:Y33)</f>
        <v>0</v>
      </c>
      <c r="Z34" s="24">
        <f>SUM(Z29:Z33)</f>
        <v>0</v>
      </c>
      <c r="AA34" s="614"/>
      <c r="AB34" s="614"/>
      <c r="AC34" s="24">
        <v>5</v>
      </c>
      <c r="AD34" s="24">
        <f>SUM(AD29:AD33)</f>
        <v>0</v>
      </c>
      <c r="AE34" s="14">
        <f t="shared" si="8"/>
        <v>-107.59178822753438</v>
      </c>
      <c r="AF34" s="356">
        <f t="shared" si="9"/>
        <v>0.95517008823852734</v>
      </c>
      <c r="AG34" s="615"/>
    </row>
    <row r="35" spans="1:33" ht="15.75" customHeight="1">
      <c r="A35" s="638" t="s">
        <v>11</v>
      </c>
      <c r="B35" s="29" t="s">
        <v>32</v>
      </c>
      <c r="C35" s="616" t="s">
        <v>77</v>
      </c>
      <c r="D35" s="616"/>
      <c r="E35" s="29">
        <v>26.18</v>
      </c>
      <c r="F35" s="367">
        <v>4560</v>
      </c>
      <c r="G35" s="357">
        <f t="shared" ref="G35:G39" si="27">E35*F35</f>
        <v>119380.8</v>
      </c>
      <c r="H35" s="33" t="s">
        <v>57</v>
      </c>
      <c r="I35" s="365">
        <v>20</v>
      </c>
      <c r="J35" s="31">
        <v>2400</v>
      </c>
      <c r="K35" s="12">
        <f t="shared" si="1"/>
        <v>120</v>
      </c>
      <c r="L35" s="365">
        <v>20</v>
      </c>
      <c r="M35" s="13">
        <f t="shared" ref="M35:M39" si="28">F35/V35*60</f>
        <v>2299.159663865546</v>
      </c>
      <c r="N35" s="12">
        <f t="shared" si="3"/>
        <v>114.9579831932773</v>
      </c>
      <c r="O35" s="14">
        <f t="shared" si="4"/>
        <v>0</v>
      </c>
      <c r="P35" s="15">
        <f t="shared" si="5"/>
        <v>-5.0420168067226996</v>
      </c>
      <c r="Q35" s="356">
        <f t="shared" si="6"/>
        <v>0.95798319327731085</v>
      </c>
      <c r="R35" s="615">
        <f>Q40</f>
        <v>0.9547730897225194</v>
      </c>
      <c r="S35" s="34">
        <v>8.3333333333333329E-2</v>
      </c>
      <c r="T35" s="34">
        <v>0.16597222222222222</v>
      </c>
      <c r="U35" s="357"/>
      <c r="V35" s="366">
        <f t="shared" ref="V35:V39" si="29">(T35-S35)*24*60</f>
        <v>119</v>
      </c>
      <c r="W35" s="21">
        <f>T35</f>
        <v>0.16597222222222222</v>
      </c>
      <c r="X35" s="21">
        <f>S36</f>
        <v>0.1847222222222222</v>
      </c>
      <c r="Y35" s="21"/>
      <c r="Z35" s="21"/>
      <c r="AA35" s="617"/>
      <c r="AB35" s="617"/>
      <c r="AC35" s="35">
        <v>5</v>
      </c>
      <c r="AD35" s="18"/>
      <c r="AE35" s="14">
        <f t="shared" si="8"/>
        <v>-100.84033613445399</v>
      </c>
      <c r="AF35" s="356">
        <f t="shared" si="9"/>
        <v>0.95798319327731085</v>
      </c>
      <c r="AG35" s="615">
        <f>AF40</f>
        <v>0.95477308972251929</v>
      </c>
    </row>
    <row r="36" spans="1:33" ht="15.75" customHeight="1">
      <c r="A36" s="638" t="s">
        <v>11</v>
      </c>
      <c r="B36" s="29" t="s">
        <v>32</v>
      </c>
      <c r="C36" s="616" t="s">
        <v>37</v>
      </c>
      <c r="D36" s="616"/>
      <c r="E36" s="29">
        <v>24.43</v>
      </c>
      <c r="F36" s="367">
        <v>5146</v>
      </c>
      <c r="G36" s="357">
        <f t="shared" si="27"/>
        <v>125716.78</v>
      </c>
      <c r="H36" s="33" t="s">
        <v>57</v>
      </c>
      <c r="I36" s="365">
        <v>14</v>
      </c>
      <c r="J36" s="31">
        <v>2400</v>
      </c>
      <c r="K36" s="12">
        <f t="shared" si="1"/>
        <v>171.42857142857142</v>
      </c>
      <c r="L36" s="365">
        <v>14</v>
      </c>
      <c r="M36" s="13">
        <f t="shared" si="28"/>
        <v>2287.1111111111099</v>
      </c>
      <c r="N36" s="12">
        <f t="shared" si="3"/>
        <v>163.36507936507928</v>
      </c>
      <c r="O36" s="14">
        <f t="shared" si="4"/>
        <v>0</v>
      </c>
      <c r="P36" s="15">
        <f t="shared" si="5"/>
        <v>-8.0634920634921343</v>
      </c>
      <c r="Q36" s="356">
        <f t="shared" si="6"/>
        <v>0.95296296296296257</v>
      </c>
      <c r="R36" s="615"/>
      <c r="S36" s="34">
        <v>0.1847222222222222</v>
      </c>
      <c r="T36" s="34">
        <v>0.27847222222222223</v>
      </c>
      <c r="U36" s="357">
        <f t="shared" ref="U36:U39" si="30">(S36-T35)*24*60</f>
        <v>26.999999999999986</v>
      </c>
      <c r="V36" s="366">
        <f t="shared" si="29"/>
        <v>135.00000000000006</v>
      </c>
      <c r="W36" s="357"/>
      <c r="X36" s="357"/>
      <c r="Y36" s="357"/>
      <c r="Z36" s="357"/>
      <c r="AA36" s="617"/>
      <c r="AB36" s="617"/>
      <c r="AC36" s="35"/>
      <c r="AD36" s="18"/>
      <c r="AE36" s="14">
        <f t="shared" si="8"/>
        <v>-112.88888888889005</v>
      </c>
      <c r="AF36" s="356">
        <f t="shared" si="9"/>
        <v>0.95296296296296246</v>
      </c>
      <c r="AG36" s="615"/>
    </row>
    <row r="37" spans="1:33">
      <c r="A37" s="639" t="s">
        <v>11</v>
      </c>
      <c r="B37" s="29" t="s">
        <v>32</v>
      </c>
      <c r="C37" s="616" t="s">
        <v>38</v>
      </c>
      <c r="D37" s="616"/>
      <c r="E37" s="29">
        <v>25.98</v>
      </c>
      <c r="F37" s="367">
        <v>2325</v>
      </c>
      <c r="G37" s="357">
        <f t="shared" si="27"/>
        <v>60403.5</v>
      </c>
      <c r="H37" s="33" t="s">
        <v>57</v>
      </c>
      <c r="I37" s="365">
        <v>21</v>
      </c>
      <c r="J37" s="31">
        <v>2400</v>
      </c>
      <c r="K37" s="12">
        <f t="shared" si="1"/>
        <v>114.28571428571429</v>
      </c>
      <c r="L37" s="365">
        <v>21</v>
      </c>
      <c r="M37" s="13">
        <f t="shared" si="28"/>
        <v>2286.8852459016384</v>
      </c>
      <c r="N37" s="12">
        <f t="shared" si="3"/>
        <v>108.89929742388755</v>
      </c>
      <c r="O37" s="14">
        <f t="shared" si="4"/>
        <v>0</v>
      </c>
      <c r="P37" s="15">
        <f t="shared" si="5"/>
        <v>-5.3864168618267456</v>
      </c>
      <c r="Q37" s="356">
        <f t="shared" si="6"/>
        <v>0.95286885245901598</v>
      </c>
      <c r="R37" s="615"/>
      <c r="S37" s="34">
        <v>0.28263888888888888</v>
      </c>
      <c r="T37" s="34">
        <v>0.32500000000000001</v>
      </c>
      <c r="U37" s="357">
        <f t="shared" si="30"/>
        <v>5.9999999999999787</v>
      </c>
      <c r="V37" s="366">
        <f t="shared" si="29"/>
        <v>61.000000000000021</v>
      </c>
      <c r="W37" s="357"/>
      <c r="X37" s="357"/>
      <c r="Y37" s="357"/>
      <c r="Z37" s="357"/>
      <c r="AA37" s="617"/>
      <c r="AB37" s="617"/>
      <c r="AC37" s="35"/>
      <c r="AD37" s="18"/>
      <c r="AE37" s="14">
        <f t="shared" si="8"/>
        <v>-113.11475409836157</v>
      </c>
      <c r="AF37" s="356">
        <f t="shared" si="9"/>
        <v>0.95286885245901598</v>
      </c>
      <c r="AG37" s="615"/>
    </row>
    <row r="38" spans="1:33">
      <c r="A38" s="639" t="s">
        <v>11</v>
      </c>
      <c r="B38" s="29" t="s">
        <v>32</v>
      </c>
      <c r="C38" s="616" t="s">
        <v>39</v>
      </c>
      <c r="D38" s="616"/>
      <c r="E38" s="29">
        <v>34.1</v>
      </c>
      <c r="F38" s="367">
        <v>4940</v>
      </c>
      <c r="G38" s="357">
        <f t="shared" si="27"/>
        <v>168454</v>
      </c>
      <c r="H38" s="33" t="s">
        <v>57</v>
      </c>
      <c r="I38" s="365">
        <v>17</v>
      </c>
      <c r="J38" s="31">
        <v>1600</v>
      </c>
      <c r="K38" s="12">
        <f t="shared" si="1"/>
        <v>94.117647058823536</v>
      </c>
      <c r="L38" s="365">
        <v>17</v>
      </c>
      <c r="M38" s="13">
        <f t="shared" si="28"/>
        <v>1527.8350515463915</v>
      </c>
      <c r="N38" s="12">
        <f t="shared" si="3"/>
        <v>89.8726500909642</v>
      </c>
      <c r="O38" s="14">
        <f t="shared" si="4"/>
        <v>0</v>
      </c>
      <c r="P38" s="15">
        <f t="shared" si="5"/>
        <v>-4.2449969678593362</v>
      </c>
      <c r="Q38" s="356">
        <f t="shared" si="6"/>
        <v>0.95489690721649456</v>
      </c>
      <c r="R38" s="615"/>
      <c r="S38" s="34">
        <v>0.32916666666666666</v>
      </c>
      <c r="T38" s="34">
        <v>0.46388888888888891</v>
      </c>
      <c r="U38" s="357">
        <f t="shared" si="30"/>
        <v>5.9999999999999787</v>
      </c>
      <c r="V38" s="366">
        <f t="shared" si="29"/>
        <v>194.00000000000003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-72.164948453608531</v>
      </c>
      <c r="AF38" s="356">
        <f t="shared" si="9"/>
        <v>0.95489690721649467</v>
      </c>
      <c r="AG38" s="615"/>
    </row>
    <row r="39" spans="1:33">
      <c r="A39" s="639" t="s">
        <v>11</v>
      </c>
      <c r="B39" s="29" t="s">
        <v>32</v>
      </c>
      <c r="C39" s="616" t="s">
        <v>84</v>
      </c>
      <c r="D39" s="616"/>
      <c r="E39" s="29">
        <v>20.21</v>
      </c>
      <c r="F39" s="367">
        <v>2942</v>
      </c>
      <c r="G39" s="357">
        <f t="shared" si="27"/>
        <v>59457.82</v>
      </c>
      <c r="H39" s="33" t="s">
        <v>57</v>
      </c>
      <c r="I39" s="365">
        <v>18</v>
      </c>
      <c r="J39" s="31">
        <v>2400</v>
      </c>
      <c r="K39" s="12">
        <f t="shared" si="1"/>
        <v>133.33333333333334</v>
      </c>
      <c r="L39" s="365">
        <v>18</v>
      </c>
      <c r="M39" s="13">
        <f t="shared" si="28"/>
        <v>2292.4675324675313</v>
      </c>
      <c r="N39" s="12">
        <f t="shared" si="3"/>
        <v>127.35930735930729</v>
      </c>
      <c r="O39" s="14">
        <f t="shared" si="4"/>
        <v>0</v>
      </c>
      <c r="P39" s="15">
        <f t="shared" si="5"/>
        <v>-5.9740259740260484</v>
      </c>
      <c r="Q39" s="356">
        <f t="shared" si="6"/>
        <v>0.9551948051948046</v>
      </c>
      <c r="R39" s="615"/>
      <c r="S39" s="34">
        <v>0.46805555555555556</v>
      </c>
      <c r="T39" s="34">
        <v>0.52152777777777781</v>
      </c>
      <c r="U39" s="357">
        <f t="shared" si="30"/>
        <v>5.9999999999999787</v>
      </c>
      <c r="V39" s="366">
        <f t="shared" si="29"/>
        <v>77.000000000000043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-107.53246753246867</v>
      </c>
      <c r="AF39" s="356">
        <f t="shared" si="9"/>
        <v>0.95519480519480471</v>
      </c>
      <c r="AG39" s="615"/>
    </row>
    <row r="40" spans="1:33">
      <c r="A40" s="639" t="s">
        <v>11</v>
      </c>
      <c r="B40" s="30" t="s">
        <v>6</v>
      </c>
      <c r="C40" s="618"/>
      <c r="D40" s="618"/>
      <c r="E40" s="358"/>
      <c r="F40" s="30"/>
      <c r="G40" s="12"/>
      <c r="H40" s="367"/>
      <c r="I40" s="23">
        <v>18</v>
      </c>
      <c r="J40" s="31">
        <v>2240</v>
      </c>
      <c r="K40" s="12">
        <f t="shared" si="1"/>
        <v>124.44444444444444</v>
      </c>
      <c r="L40" s="23">
        <v>18</v>
      </c>
      <c r="M40" s="13">
        <f>AVERAGE(M35:M39)</f>
        <v>2138.6917209784433</v>
      </c>
      <c r="N40" s="12">
        <f t="shared" si="3"/>
        <v>118.81620672102463</v>
      </c>
      <c r="O40" s="14">
        <f t="shared" si="4"/>
        <v>0</v>
      </c>
      <c r="P40" s="15">
        <f t="shared" si="5"/>
        <v>-5.6282377234198151</v>
      </c>
      <c r="Q40" s="356">
        <f t="shared" si="6"/>
        <v>0.9547730897225194</v>
      </c>
      <c r="R40" s="615"/>
      <c r="S40" s="34"/>
      <c r="T40" s="34"/>
      <c r="U40" s="12"/>
      <c r="V40" s="366"/>
      <c r="W40" s="12"/>
      <c r="X40" s="12"/>
      <c r="Y40" s="24">
        <f>SUM(Y35:Y39)</f>
        <v>0</v>
      </c>
      <c r="Z40" s="24">
        <f>SUM(Z35:Z39)</f>
        <v>0</v>
      </c>
      <c r="AA40" s="614"/>
      <c r="AB40" s="614"/>
      <c r="AC40" s="24">
        <v>5</v>
      </c>
      <c r="AD40" s="24">
        <f>SUM(AD35:AD39)</f>
        <v>0</v>
      </c>
      <c r="AE40" s="14">
        <f t="shared" si="8"/>
        <v>-101.3082790215567</v>
      </c>
      <c r="AF40" s="356">
        <f t="shared" si="9"/>
        <v>0.95477308972251929</v>
      </c>
      <c r="AG40" s="615"/>
    </row>
    <row r="41" spans="1:33" ht="15.75" customHeight="1">
      <c r="A41" s="632" t="s">
        <v>180</v>
      </c>
      <c r="B41" s="29" t="s">
        <v>40</v>
      </c>
      <c r="C41" s="622" t="s">
        <v>41</v>
      </c>
      <c r="D41" s="623"/>
      <c r="E41" s="29">
        <v>37.880000000000003</v>
      </c>
      <c r="F41" s="367">
        <v>605</v>
      </c>
      <c r="G41" s="357">
        <f t="shared" ref="G41:G44" si="31">E41*F41</f>
        <v>22917.4</v>
      </c>
      <c r="H41" s="33" t="s">
        <v>57</v>
      </c>
      <c r="I41" s="365">
        <v>13</v>
      </c>
      <c r="J41" s="31">
        <v>2000</v>
      </c>
      <c r="K41" s="12">
        <f t="shared" si="1"/>
        <v>153.84615384615384</v>
      </c>
      <c r="L41" s="365">
        <v>13</v>
      </c>
      <c r="M41" s="13">
        <f t="shared" ref="M41:M44" si="32">F41/V41*60</f>
        <v>1910.5263157894744</v>
      </c>
      <c r="N41" s="13">
        <f t="shared" si="3"/>
        <v>146.96356275303648</v>
      </c>
      <c r="O41" s="14">
        <f t="shared" si="4"/>
        <v>0</v>
      </c>
      <c r="P41" s="15">
        <f t="shared" si="5"/>
        <v>-6.8825910931173553</v>
      </c>
      <c r="Q41" s="356">
        <f t="shared" si="6"/>
        <v>0.95526315789473715</v>
      </c>
      <c r="R41" s="635">
        <f>Q45</f>
        <v>0.95507242413462945</v>
      </c>
      <c r="S41" s="34">
        <v>8.3333333333333329E-2</v>
      </c>
      <c r="T41" s="34">
        <v>9.6527777777777768E-2</v>
      </c>
      <c r="U41" s="21"/>
      <c r="V41" s="366">
        <f t="shared" ref="V41:V44" si="33">(T41-S41)*24*60</f>
        <v>18.999999999999993</v>
      </c>
      <c r="W41" s="16">
        <f>T41</f>
        <v>9.6527777777777768E-2</v>
      </c>
      <c r="X41" s="16">
        <f>S42</f>
        <v>0.11666666666666665</v>
      </c>
      <c r="Y41" s="19"/>
      <c r="Z41" s="19"/>
      <c r="AA41" s="624"/>
      <c r="AB41" s="625"/>
      <c r="AC41" s="35">
        <v>4</v>
      </c>
      <c r="AD41" s="18"/>
      <c r="AE41" s="14">
        <f t="shared" si="8"/>
        <v>-89.473684210525562</v>
      </c>
      <c r="AF41" s="356">
        <f t="shared" si="9"/>
        <v>0.95526315789473726</v>
      </c>
      <c r="AG41" s="635">
        <f>AF45</f>
        <v>0.95507242413462945</v>
      </c>
    </row>
    <row r="42" spans="1:33" ht="15.75" customHeight="1">
      <c r="A42" s="633" t="s">
        <v>180</v>
      </c>
      <c r="B42" s="29" t="s">
        <v>40</v>
      </c>
      <c r="C42" s="622" t="s">
        <v>42</v>
      </c>
      <c r="D42" s="623"/>
      <c r="E42" s="29">
        <v>35.119999999999997</v>
      </c>
      <c r="F42" s="367">
        <v>3912</v>
      </c>
      <c r="G42" s="357">
        <f t="shared" si="31"/>
        <v>137389.44</v>
      </c>
      <c r="H42" s="33" t="s">
        <v>57</v>
      </c>
      <c r="I42" s="365">
        <v>10</v>
      </c>
      <c r="J42" s="31">
        <v>3000</v>
      </c>
      <c r="K42" s="12">
        <f t="shared" si="1"/>
        <v>300</v>
      </c>
      <c r="L42" s="365">
        <v>10</v>
      </c>
      <c r="M42" s="13">
        <f t="shared" si="32"/>
        <v>2862.439024390244</v>
      </c>
      <c r="N42" s="13">
        <f t="shared" si="3"/>
        <v>286.2439024390244</v>
      </c>
      <c r="O42" s="14">
        <f t="shared" si="4"/>
        <v>0</v>
      </c>
      <c r="P42" s="15">
        <f t="shared" si="5"/>
        <v>-13.756097560975604</v>
      </c>
      <c r="Q42" s="356">
        <f t="shared" si="6"/>
        <v>0.9541463414634147</v>
      </c>
      <c r="R42" s="636"/>
      <c r="S42" s="34">
        <v>0.11666666666666665</v>
      </c>
      <c r="T42" s="34">
        <v>0.1736111111111111</v>
      </c>
      <c r="U42" s="357">
        <f t="shared" ref="U42:U44" si="34">(S42-T41)*24*60</f>
        <v>28.999999999999996</v>
      </c>
      <c r="V42" s="366">
        <f t="shared" si="33"/>
        <v>82</v>
      </c>
      <c r="W42" s="16"/>
      <c r="X42" s="16"/>
      <c r="Y42" s="19"/>
      <c r="Z42" s="19"/>
      <c r="AA42" s="624"/>
      <c r="AB42" s="625"/>
      <c r="AC42" s="35"/>
      <c r="AD42" s="18"/>
      <c r="AE42" s="14">
        <f t="shared" si="8"/>
        <v>-137.56097560975604</v>
      </c>
      <c r="AF42" s="356">
        <f t="shared" si="9"/>
        <v>0.9541463414634147</v>
      </c>
      <c r="AG42" s="636"/>
    </row>
    <row r="43" spans="1:33" ht="15.75" customHeight="1">
      <c r="A43" s="633" t="s">
        <v>180</v>
      </c>
      <c r="B43" s="29" t="s">
        <v>40</v>
      </c>
      <c r="C43" s="622" t="s">
        <v>43</v>
      </c>
      <c r="D43" s="623"/>
      <c r="E43" s="29">
        <v>21.13</v>
      </c>
      <c r="F43" s="367">
        <v>3981</v>
      </c>
      <c r="G43" s="357">
        <f t="shared" si="31"/>
        <v>84118.53</v>
      </c>
      <c r="H43" s="33" t="s">
        <v>57</v>
      </c>
      <c r="I43" s="365">
        <v>10</v>
      </c>
      <c r="J43" s="31">
        <v>3000</v>
      </c>
      <c r="K43" s="12">
        <f t="shared" si="1"/>
        <v>300</v>
      </c>
      <c r="L43" s="365">
        <v>10</v>
      </c>
      <c r="M43" s="13">
        <f t="shared" si="32"/>
        <v>2877.8313253012052</v>
      </c>
      <c r="N43" s="13">
        <f t="shared" si="3"/>
        <v>287.7831325301205</v>
      </c>
      <c r="O43" s="14">
        <f t="shared" si="4"/>
        <v>0</v>
      </c>
      <c r="P43" s="15">
        <f t="shared" si="5"/>
        <v>-12.216867469879503</v>
      </c>
      <c r="Q43" s="356">
        <f t="shared" si="6"/>
        <v>0.95927710843373504</v>
      </c>
      <c r="R43" s="636"/>
      <c r="S43" s="34">
        <v>0.17847222222222223</v>
      </c>
      <c r="T43" s="34">
        <v>0.2361111111111111</v>
      </c>
      <c r="U43" s="357">
        <f t="shared" si="34"/>
        <v>7.0000000000000151</v>
      </c>
      <c r="V43" s="366">
        <f t="shared" si="33"/>
        <v>82.999999999999986</v>
      </c>
      <c r="W43" s="16"/>
      <c r="X43" s="16"/>
      <c r="Y43" s="19"/>
      <c r="Z43" s="19"/>
      <c r="AA43" s="624"/>
      <c r="AB43" s="625"/>
      <c r="AC43" s="35"/>
      <c r="AD43" s="18"/>
      <c r="AE43" s="14">
        <f t="shared" si="8"/>
        <v>-122.1686746987948</v>
      </c>
      <c r="AF43" s="356">
        <f t="shared" si="9"/>
        <v>0.95927710843373504</v>
      </c>
      <c r="AG43" s="636"/>
    </row>
    <row r="44" spans="1:33" ht="15.75" customHeight="1">
      <c r="A44" s="633" t="s">
        <v>180</v>
      </c>
      <c r="B44" s="29" t="s">
        <v>40</v>
      </c>
      <c r="C44" s="622" t="s">
        <v>44</v>
      </c>
      <c r="D44" s="623"/>
      <c r="E44" s="29">
        <v>27.17</v>
      </c>
      <c r="F44" s="367">
        <v>5139</v>
      </c>
      <c r="G44" s="357">
        <f t="shared" si="31"/>
        <v>139626.63</v>
      </c>
      <c r="H44" s="33" t="s">
        <v>57</v>
      </c>
      <c r="I44" s="365">
        <v>10</v>
      </c>
      <c r="J44" s="31">
        <v>3000</v>
      </c>
      <c r="K44" s="12">
        <f t="shared" si="1"/>
        <v>300</v>
      </c>
      <c r="L44" s="365">
        <v>10</v>
      </c>
      <c r="M44" s="13">
        <f t="shared" si="32"/>
        <v>2855.0000000000005</v>
      </c>
      <c r="N44" s="13">
        <f t="shared" si="3"/>
        <v>285.50000000000006</v>
      </c>
      <c r="O44" s="14">
        <f t="shared" si="4"/>
        <v>0</v>
      </c>
      <c r="P44" s="15">
        <f t="shared" si="5"/>
        <v>-14.499999999999943</v>
      </c>
      <c r="Q44" s="356">
        <f t="shared" si="6"/>
        <v>0.95166666666666688</v>
      </c>
      <c r="R44" s="636"/>
      <c r="S44" s="34">
        <v>0.24166666666666667</v>
      </c>
      <c r="T44" s="34">
        <v>0.31666666666666665</v>
      </c>
      <c r="U44" s="357">
        <f t="shared" si="34"/>
        <v>8.0000000000000107</v>
      </c>
      <c r="V44" s="366">
        <f t="shared" si="33"/>
        <v>107.99999999999997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-144.99999999999955</v>
      </c>
      <c r="AF44" s="356">
        <f t="shared" si="9"/>
        <v>0.95166666666666677</v>
      </c>
      <c r="AG44" s="636"/>
    </row>
    <row r="45" spans="1:33" ht="15.75" customHeight="1">
      <c r="A45" s="634" t="s">
        <v>180</v>
      </c>
      <c r="B45" s="29" t="s">
        <v>6</v>
      </c>
      <c r="C45" s="612"/>
      <c r="D45" s="613"/>
      <c r="E45" s="354"/>
      <c r="F45" s="367"/>
      <c r="G45" s="357"/>
      <c r="H45" s="367"/>
      <c r="I45" s="23">
        <v>10.75</v>
      </c>
      <c r="J45" s="31">
        <v>2750</v>
      </c>
      <c r="K45" s="12">
        <f t="shared" si="1"/>
        <v>255.81395348837211</v>
      </c>
      <c r="L45" s="23">
        <v>10.75</v>
      </c>
      <c r="M45" s="13">
        <f>AVERAGE(M41:M44)</f>
        <v>2626.4491663702311</v>
      </c>
      <c r="N45" s="12">
        <f t="shared" si="3"/>
        <v>244.32085268560289</v>
      </c>
      <c r="O45" s="14">
        <f t="shared" si="4"/>
        <v>0</v>
      </c>
      <c r="P45" s="15">
        <f t="shared" si="5"/>
        <v>-11.49310080276922</v>
      </c>
      <c r="Q45" s="356">
        <f t="shared" si="6"/>
        <v>0.95507242413462945</v>
      </c>
      <c r="R45" s="637"/>
      <c r="S45" s="34"/>
      <c r="T45" s="34"/>
      <c r="U45" s="357"/>
      <c r="V45" s="366"/>
      <c r="W45" s="16"/>
      <c r="X45" s="16"/>
      <c r="Y45" s="24">
        <f>SUM(Y41:Y44)</f>
        <v>0</v>
      </c>
      <c r="Z45" s="24">
        <f>SUM(Z41:Z44)</f>
        <v>0</v>
      </c>
      <c r="AA45" s="628"/>
      <c r="AB45" s="629"/>
      <c r="AC45" s="24">
        <v>4</v>
      </c>
      <c r="AD45" s="24">
        <f>SUM(AD41:AD44)</f>
        <v>0</v>
      </c>
      <c r="AE45" s="14">
        <f t="shared" si="8"/>
        <v>-123.55083362976893</v>
      </c>
      <c r="AF45" s="356">
        <f t="shared" si="9"/>
        <v>0.95507242413462945</v>
      </c>
      <c r="AG45" s="637"/>
    </row>
    <row r="46" spans="1:33" ht="15.75" customHeight="1">
      <c r="A46" s="630" t="s">
        <v>13</v>
      </c>
      <c r="B46" s="29" t="s">
        <v>15</v>
      </c>
      <c r="C46" s="616" t="s">
        <v>46</v>
      </c>
      <c r="D46" s="616"/>
      <c r="E46" s="29">
        <v>56.43</v>
      </c>
      <c r="F46" s="32">
        <v>1044</v>
      </c>
      <c r="G46" s="357">
        <f t="shared" ref="G46:G52" si="35">E46*F46</f>
        <v>58912.92</v>
      </c>
      <c r="H46" s="33" t="s">
        <v>57</v>
      </c>
      <c r="I46" s="365">
        <v>22</v>
      </c>
      <c r="J46" s="31">
        <v>2000</v>
      </c>
      <c r="K46" s="12">
        <f t="shared" si="1"/>
        <v>90.909090909090907</v>
      </c>
      <c r="L46" s="365">
        <v>22</v>
      </c>
      <c r="M46" s="13">
        <f t="shared" ref="M46" si="36">F46/V46*60</f>
        <v>1957.4999999999995</v>
      </c>
      <c r="N46" s="13">
        <f t="shared" si="3"/>
        <v>88.977272727272705</v>
      </c>
      <c r="O46" s="14">
        <f t="shared" si="4"/>
        <v>0</v>
      </c>
      <c r="P46" s="15">
        <f t="shared" si="5"/>
        <v>-1.9318181818182012</v>
      </c>
      <c r="Q46" s="356">
        <f t="shared" si="6"/>
        <v>0.97874999999999979</v>
      </c>
      <c r="R46" s="615">
        <f>Q53</f>
        <v>0.96546329894595173</v>
      </c>
      <c r="S46" s="34">
        <v>0.16666666666666666</v>
      </c>
      <c r="T46" s="34">
        <v>0.18888888888888888</v>
      </c>
      <c r="U46" s="21"/>
      <c r="V46" s="366">
        <f t="shared" ref="V46:V52" si="37">(T46-S46)*24*60</f>
        <v>32.000000000000007</v>
      </c>
      <c r="W46" s="16">
        <f>T46</f>
        <v>0.18888888888888888</v>
      </c>
      <c r="X46" s="16">
        <f>S47</f>
        <v>0.20972222222222223</v>
      </c>
      <c r="Y46" s="21"/>
      <c r="Z46" s="21"/>
      <c r="AA46" s="617"/>
      <c r="AB46" s="617"/>
      <c r="AC46" s="35">
        <v>7</v>
      </c>
      <c r="AD46" s="18"/>
      <c r="AE46" s="14">
        <f t="shared" si="8"/>
        <v>-42.500000000000455</v>
      </c>
      <c r="AF46" s="356">
        <f t="shared" si="9"/>
        <v>0.97874999999999979</v>
      </c>
      <c r="AG46" s="615">
        <f>AF53</f>
        <v>0.96546329894595173</v>
      </c>
    </row>
    <row r="47" spans="1:33" ht="15.75" customHeight="1">
      <c r="A47" s="630" t="s">
        <v>13</v>
      </c>
      <c r="B47" s="29" t="s">
        <v>19</v>
      </c>
      <c r="C47" s="616" t="s">
        <v>81</v>
      </c>
      <c r="D47" s="616"/>
      <c r="E47" s="29">
        <v>46</v>
      </c>
      <c r="F47" s="32">
        <v>1675</v>
      </c>
      <c r="G47" s="357">
        <f t="shared" si="35"/>
        <v>77050</v>
      </c>
      <c r="H47" s="33" t="s">
        <v>57</v>
      </c>
      <c r="I47" s="365">
        <v>16</v>
      </c>
      <c r="J47" s="31">
        <v>2000</v>
      </c>
      <c r="K47" s="12">
        <f t="shared" si="1"/>
        <v>125</v>
      </c>
      <c r="L47" s="365">
        <v>16</v>
      </c>
      <c r="M47" s="13">
        <f>F47/V47*60</f>
        <v>1932.6923076923072</v>
      </c>
      <c r="N47" s="13">
        <f t="shared" si="3"/>
        <v>120.7932692307692</v>
      </c>
      <c r="O47" s="14">
        <f t="shared" si="4"/>
        <v>0</v>
      </c>
      <c r="P47" s="15">
        <f t="shared" si="5"/>
        <v>-4.206730769230802</v>
      </c>
      <c r="Q47" s="356">
        <f t="shared" si="6"/>
        <v>0.96634615384615363</v>
      </c>
      <c r="R47" s="615"/>
      <c r="S47" s="34">
        <v>0.20972222222222223</v>
      </c>
      <c r="T47" s="34">
        <v>0.24583333333333335</v>
      </c>
      <c r="U47" s="357">
        <f t="shared" ref="U47:U52" si="38">IF(S47=TIME(17,0,0),"",(S47-T46)*24*60)</f>
        <v>30.000000000000014</v>
      </c>
      <c r="V47" s="366">
        <f t="shared" si="37"/>
        <v>52.000000000000014</v>
      </c>
      <c r="W47" s="16"/>
      <c r="X47" s="16"/>
      <c r="Y47" s="16"/>
      <c r="Z47" s="16"/>
      <c r="AA47" s="617"/>
      <c r="AB47" s="617"/>
      <c r="AC47" s="35"/>
      <c r="AD47" s="18"/>
      <c r="AE47" s="14">
        <f t="shared" si="8"/>
        <v>-67.307692307692832</v>
      </c>
      <c r="AF47" s="356">
        <f t="shared" si="9"/>
        <v>0.96634615384615363</v>
      </c>
      <c r="AG47" s="615"/>
    </row>
    <row r="48" spans="1:33" ht="15.75" customHeight="1">
      <c r="A48" s="630" t="s">
        <v>13</v>
      </c>
      <c r="B48" s="29" t="s">
        <v>19</v>
      </c>
      <c r="C48" s="622" t="s">
        <v>945</v>
      </c>
      <c r="D48" s="623"/>
      <c r="E48" s="29">
        <v>46</v>
      </c>
      <c r="F48" s="32">
        <v>3118</v>
      </c>
      <c r="G48" s="357">
        <f t="shared" si="35"/>
        <v>143428</v>
      </c>
      <c r="H48" s="33" t="s">
        <v>57</v>
      </c>
      <c r="I48" s="365">
        <v>17</v>
      </c>
      <c r="J48" s="31">
        <v>2000</v>
      </c>
      <c r="K48" s="12">
        <f t="shared" si="1"/>
        <v>117.64705882352941</v>
      </c>
      <c r="L48" s="365">
        <v>17</v>
      </c>
      <c r="M48" s="13">
        <f t="shared" ref="M48:M52" si="39">F48/V48*60</f>
        <v>1908.9795918367354</v>
      </c>
      <c r="N48" s="13">
        <f t="shared" si="3"/>
        <v>112.29291716686679</v>
      </c>
      <c r="O48" s="14">
        <f t="shared" si="4"/>
        <v>0</v>
      </c>
      <c r="P48" s="15">
        <f t="shared" si="5"/>
        <v>-5.3541416566626197</v>
      </c>
      <c r="Q48" s="356">
        <f t="shared" si="6"/>
        <v>0.95448979591836769</v>
      </c>
      <c r="R48" s="615"/>
      <c r="S48" s="34">
        <v>0.25</v>
      </c>
      <c r="T48" s="34">
        <v>0.31805555555555554</v>
      </c>
      <c r="U48" s="357">
        <f t="shared" si="38"/>
        <v>5.9999999999999787</v>
      </c>
      <c r="V48" s="366">
        <f t="shared" si="37"/>
        <v>97.999999999999972</v>
      </c>
      <c r="W48" s="16"/>
      <c r="X48" s="16"/>
      <c r="Y48" s="19"/>
      <c r="Z48" s="19"/>
      <c r="AA48" s="617"/>
      <c r="AB48" s="617"/>
      <c r="AC48" s="35"/>
      <c r="AD48" s="18"/>
      <c r="AE48" s="14">
        <f t="shared" si="8"/>
        <v>-91.020408163264619</v>
      </c>
      <c r="AF48" s="356">
        <f t="shared" si="9"/>
        <v>0.95448979591836769</v>
      </c>
      <c r="AG48" s="615"/>
    </row>
    <row r="49" spans="1:33" ht="15.75" customHeight="1">
      <c r="A49" s="630" t="s">
        <v>13</v>
      </c>
      <c r="B49" s="29" t="s">
        <v>15</v>
      </c>
      <c r="C49" s="359" t="s">
        <v>27</v>
      </c>
      <c r="D49" s="360"/>
      <c r="E49" s="29">
        <v>59.04</v>
      </c>
      <c r="F49" s="32">
        <v>2392</v>
      </c>
      <c r="G49" s="357">
        <f t="shared" si="35"/>
        <v>141223.67999999999</v>
      </c>
      <c r="H49" s="33" t="s">
        <v>57</v>
      </c>
      <c r="I49" s="365">
        <v>19</v>
      </c>
      <c r="J49" s="31">
        <v>2000</v>
      </c>
      <c r="K49" s="12">
        <f t="shared" si="1"/>
        <v>105.26315789473684</v>
      </c>
      <c r="L49" s="365">
        <v>19</v>
      </c>
      <c r="M49" s="13">
        <f t="shared" si="39"/>
        <v>1913.6000000000008</v>
      </c>
      <c r="N49" s="13">
        <f t="shared" si="3"/>
        <v>100.71578947368425</v>
      </c>
      <c r="O49" s="14">
        <f t="shared" si="4"/>
        <v>0</v>
      </c>
      <c r="P49" s="15">
        <f t="shared" si="5"/>
        <v>-4.5473684210525818</v>
      </c>
      <c r="Q49" s="356">
        <f t="shared" si="6"/>
        <v>0.95680000000000043</v>
      </c>
      <c r="R49" s="615"/>
      <c r="S49" s="34">
        <v>0.32222222222222219</v>
      </c>
      <c r="T49" s="34">
        <v>0.3743055555555555</v>
      </c>
      <c r="U49" s="357">
        <f t="shared" si="38"/>
        <v>5.9999999999999787</v>
      </c>
      <c r="V49" s="366">
        <f t="shared" si="37"/>
        <v>74.999999999999972</v>
      </c>
      <c r="W49" s="16"/>
      <c r="X49" s="16"/>
      <c r="Y49" s="19"/>
      <c r="Z49" s="19"/>
      <c r="AA49" s="617"/>
      <c r="AB49" s="617"/>
      <c r="AC49" s="35"/>
      <c r="AD49" s="18"/>
      <c r="AE49" s="14">
        <f t="shared" si="8"/>
        <v>-86.399999999999181</v>
      </c>
      <c r="AF49" s="356">
        <f t="shared" si="9"/>
        <v>0.95680000000000043</v>
      </c>
      <c r="AG49" s="615"/>
    </row>
    <row r="50" spans="1:33" ht="15.75" customHeight="1">
      <c r="A50" s="630" t="s">
        <v>13</v>
      </c>
      <c r="B50" s="29" t="s">
        <v>15</v>
      </c>
      <c r="C50" s="359" t="s">
        <v>48</v>
      </c>
      <c r="D50" s="360"/>
      <c r="E50" s="29">
        <v>55.56</v>
      </c>
      <c r="F50" s="32">
        <v>1536</v>
      </c>
      <c r="G50" s="357">
        <f t="shared" si="35"/>
        <v>85340.160000000003</v>
      </c>
      <c r="H50" s="33" t="s">
        <v>57</v>
      </c>
      <c r="I50" s="365">
        <v>17</v>
      </c>
      <c r="J50" s="31">
        <v>2000</v>
      </c>
      <c r="K50" s="12">
        <f t="shared" si="1"/>
        <v>117.64705882352941</v>
      </c>
      <c r="L50" s="365">
        <v>17</v>
      </c>
      <c r="M50" s="13">
        <f t="shared" si="39"/>
        <v>1920.0000000000005</v>
      </c>
      <c r="N50" s="13">
        <f t="shared" si="3"/>
        <v>112.94117647058826</v>
      </c>
      <c r="O50" s="14">
        <f t="shared" si="4"/>
        <v>0</v>
      </c>
      <c r="P50" s="15">
        <f t="shared" si="5"/>
        <v>-4.7058823529411455</v>
      </c>
      <c r="Q50" s="356">
        <f t="shared" si="6"/>
        <v>0.9600000000000003</v>
      </c>
      <c r="R50" s="615"/>
      <c r="S50" s="34">
        <v>0.70833333333333337</v>
      </c>
      <c r="T50" s="34">
        <v>0.7416666666666667</v>
      </c>
      <c r="U50" s="357" t="str">
        <f t="shared" si="38"/>
        <v/>
      </c>
      <c r="V50" s="366">
        <f t="shared" si="37"/>
        <v>47.999999999999986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-79.999999999999545</v>
      </c>
      <c r="AF50" s="356">
        <f t="shared" si="9"/>
        <v>0.96000000000000019</v>
      </c>
      <c r="AG50" s="615"/>
    </row>
    <row r="51" spans="1:33" ht="15.75" customHeight="1">
      <c r="A51" s="630" t="s">
        <v>13</v>
      </c>
      <c r="B51" s="29" t="s">
        <v>15</v>
      </c>
      <c r="C51" s="622" t="s">
        <v>841</v>
      </c>
      <c r="D51" s="623"/>
      <c r="E51" s="29">
        <v>54.09</v>
      </c>
      <c r="F51" s="32">
        <v>1121</v>
      </c>
      <c r="G51" s="357">
        <f t="shared" si="35"/>
        <v>60634.890000000007</v>
      </c>
      <c r="H51" s="33" t="s">
        <v>57</v>
      </c>
      <c r="I51" s="365">
        <v>13</v>
      </c>
      <c r="J51" s="31">
        <v>2000</v>
      </c>
      <c r="K51" s="12">
        <f t="shared" si="1"/>
        <v>153.84615384615384</v>
      </c>
      <c r="L51" s="365">
        <v>13</v>
      </c>
      <c r="M51" s="13">
        <f t="shared" si="39"/>
        <v>1921.7142857142837</v>
      </c>
      <c r="N51" s="13">
        <f t="shared" si="3"/>
        <v>147.82417582417568</v>
      </c>
      <c r="O51" s="14">
        <f t="shared" si="4"/>
        <v>0</v>
      </c>
      <c r="P51" s="15">
        <f t="shared" si="5"/>
        <v>-6.0219780219781569</v>
      </c>
      <c r="Q51" s="356">
        <f t="shared" si="6"/>
        <v>0.96085714285714197</v>
      </c>
      <c r="R51" s="615"/>
      <c r="S51" s="34">
        <v>0.74652777777777779</v>
      </c>
      <c r="T51" s="34">
        <v>0.77083333333333337</v>
      </c>
      <c r="U51" s="357">
        <f t="shared" si="38"/>
        <v>6.9999999999999751</v>
      </c>
      <c r="V51" s="366">
        <f t="shared" si="37"/>
        <v>35.000000000000036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-78.285714285716267</v>
      </c>
      <c r="AF51" s="356">
        <f t="shared" si="9"/>
        <v>0.96085714285714185</v>
      </c>
      <c r="AG51" s="615"/>
    </row>
    <row r="52" spans="1:33" ht="15.75" customHeight="1">
      <c r="A52" s="630" t="s">
        <v>13</v>
      </c>
      <c r="B52" s="29" t="s">
        <v>15</v>
      </c>
      <c r="C52" s="622" t="s">
        <v>85</v>
      </c>
      <c r="D52" s="623"/>
      <c r="E52" s="29">
        <v>56.43</v>
      </c>
      <c r="F52" s="32">
        <v>981</v>
      </c>
      <c r="G52" s="357">
        <f t="shared" si="35"/>
        <v>55357.83</v>
      </c>
      <c r="H52" s="33" t="s">
        <v>57</v>
      </c>
      <c r="I52" s="365">
        <v>13</v>
      </c>
      <c r="J52" s="31">
        <v>2000</v>
      </c>
      <c r="K52" s="12">
        <f t="shared" si="1"/>
        <v>153.84615384615384</v>
      </c>
      <c r="L52" s="365">
        <v>13</v>
      </c>
      <c r="M52" s="13">
        <f t="shared" si="39"/>
        <v>1961.9999999999964</v>
      </c>
      <c r="N52" s="13">
        <f t="shared" si="3"/>
        <v>150.92307692307665</v>
      </c>
      <c r="O52" s="14">
        <f t="shared" si="4"/>
        <v>0</v>
      </c>
      <c r="P52" s="15">
        <f t="shared" si="5"/>
        <v>-2.9230769230771898</v>
      </c>
      <c r="Q52" s="356">
        <f t="shared" si="6"/>
        <v>0.98099999999999832</v>
      </c>
      <c r="R52" s="615"/>
      <c r="S52" s="34">
        <v>0.77569444444444446</v>
      </c>
      <c r="T52" s="34">
        <v>0.79652777777777783</v>
      </c>
      <c r="U52" s="357">
        <f t="shared" si="38"/>
        <v>6.9999999999999751</v>
      </c>
      <c r="V52" s="366">
        <f t="shared" si="37"/>
        <v>30.000000000000053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-38.000000000003638</v>
      </c>
      <c r="AF52" s="356">
        <f t="shared" si="9"/>
        <v>0.98099999999999821</v>
      </c>
      <c r="AG52" s="615"/>
    </row>
    <row r="53" spans="1:33">
      <c r="A53" s="631" t="s">
        <v>13</v>
      </c>
      <c r="B53" s="29" t="s">
        <v>6</v>
      </c>
      <c r="C53" s="618"/>
      <c r="D53" s="618"/>
      <c r="E53" s="358"/>
      <c r="F53" s="30"/>
      <c r="G53" s="12"/>
      <c r="H53" s="367"/>
      <c r="I53" s="23">
        <v>16.714285714285715</v>
      </c>
      <c r="J53" s="31">
        <v>2000</v>
      </c>
      <c r="K53" s="12">
        <f t="shared" si="1"/>
        <v>119.65811965811965</v>
      </c>
      <c r="L53" s="23">
        <v>16.714285714285715</v>
      </c>
      <c r="M53" s="13">
        <f>AVERAGE(M46:M52)</f>
        <v>1930.9265978919034</v>
      </c>
      <c r="N53" s="12">
        <f t="shared" si="3"/>
        <v>115.52552295079764</v>
      </c>
      <c r="O53" s="14">
        <f t="shared" si="4"/>
        <v>0</v>
      </c>
      <c r="P53" s="15">
        <f t="shared" si="5"/>
        <v>-4.1325967073220085</v>
      </c>
      <c r="Q53" s="356">
        <f t="shared" si="6"/>
        <v>0.96546329894595173</v>
      </c>
      <c r="R53" s="615"/>
      <c r="S53" s="34"/>
      <c r="T53" s="34"/>
      <c r="U53" s="357"/>
      <c r="V53" s="366"/>
      <c r="W53" s="12"/>
      <c r="X53" s="12"/>
      <c r="Y53" s="24">
        <f>SUM(Y46:Y52)</f>
        <v>0</v>
      </c>
      <c r="Z53" s="24">
        <f>SUM(Z46:Z52)</f>
        <v>0</v>
      </c>
      <c r="AA53" s="614"/>
      <c r="AB53" s="614"/>
      <c r="AC53" s="24">
        <v>7</v>
      </c>
      <c r="AD53" s="24">
        <f>SUM(AD46:AD52)</f>
        <v>0</v>
      </c>
      <c r="AE53" s="14">
        <f>M53-J53</f>
        <v>-69.073402108096616</v>
      </c>
      <c r="AF53" s="356">
        <f t="shared" si="9"/>
        <v>0.96546329894595173</v>
      </c>
      <c r="AG53" s="615"/>
    </row>
    <row r="54" spans="1:33" ht="15.75" customHeight="1">
      <c r="A54" s="626" t="s">
        <v>182</v>
      </c>
      <c r="B54" s="367" t="s">
        <v>40</v>
      </c>
      <c r="C54" s="616" t="s">
        <v>49</v>
      </c>
      <c r="D54" s="616"/>
      <c r="E54" s="29">
        <v>34.36</v>
      </c>
      <c r="F54" s="32">
        <v>1488</v>
      </c>
      <c r="G54" s="357">
        <f t="shared" ref="G54:G58" si="40">E54*F54</f>
        <v>51127.68</v>
      </c>
      <c r="H54" s="33" t="s">
        <v>57</v>
      </c>
      <c r="I54" s="365">
        <v>10</v>
      </c>
      <c r="J54" s="31">
        <v>3000</v>
      </c>
      <c r="K54" s="12">
        <f t="shared" si="1"/>
        <v>300</v>
      </c>
      <c r="L54" s="365">
        <v>10</v>
      </c>
      <c r="M54" s="13">
        <f t="shared" ref="M54:M58" si="41">F54/V54*60</f>
        <v>2879.9999999999991</v>
      </c>
      <c r="N54" s="12">
        <f t="shared" si="3"/>
        <v>287.99999999999989</v>
      </c>
      <c r="O54" s="14">
        <f t="shared" si="4"/>
        <v>0</v>
      </c>
      <c r="P54" s="15">
        <f t="shared" si="5"/>
        <v>-12.000000000000114</v>
      </c>
      <c r="Q54" s="356">
        <f t="shared" si="6"/>
        <v>0.95999999999999963</v>
      </c>
      <c r="R54" s="615">
        <f>Q59</f>
        <v>0.96711734804286142</v>
      </c>
      <c r="S54" s="34">
        <v>0.20833333333333334</v>
      </c>
      <c r="T54" s="34">
        <v>0.22986111111111113</v>
      </c>
      <c r="U54" s="357"/>
      <c r="V54" s="366">
        <f t="shared" ref="V54:V58" si="42">(T54-S54)*24*60</f>
        <v>31.000000000000011</v>
      </c>
      <c r="W54" s="16"/>
      <c r="X54" s="16"/>
      <c r="Y54" s="21"/>
      <c r="Z54" s="21"/>
      <c r="AA54" s="617"/>
      <c r="AB54" s="617"/>
      <c r="AC54" s="35">
        <v>5</v>
      </c>
      <c r="AD54" s="18"/>
      <c r="AE54" s="14">
        <f t="shared" ref="AE54:AE65" si="43">M54-J54</f>
        <v>-120.00000000000091</v>
      </c>
      <c r="AF54" s="356">
        <f t="shared" si="9"/>
        <v>0.95999999999999974</v>
      </c>
      <c r="AG54" s="615">
        <f>AF59</f>
        <v>0.96711734804286154</v>
      </c>
    </row>
    <row r="55" spans="1:33" ht="15.75" customHeight="1">
      <c r="A55" s="626" t="s">
        <v>182</v>
      </c>
      <c r="B55" s="367" t="s">
        <v>40</v>
      </c>
      <c r="C55" s="616" t="s">
        <v>50</v>
      </c>
      <c r="D55" s="616"/>
      <c r="E55" s="29">
        <v>34.36</v>
      </c>
      <c r="F55" s="32">
        <v>874</v>
      </c>
      <c r="G55" s="357">
        <f t="shared" si="40"/>
        <v>30030.639999999999</v>
      </c>
      <c r="H55" s="33" t="s">
        <v>57</v>
      </c>
      <c r="I55" s="365">
        <v>10</v>
      </c>
      <c r="J55" s="31">
        <v>3000</v>
      </c>
      <c r="K55" s="12">
        <f t="shared" si="1"/>
        <v>300</v>
      </c>
      <c r="L55" s="365">
        <v>10</v>
      </c>
      <c r="M55" s="13">
        <f t="shared" si="41"/>
        <v>2913.3333333333308</v>
      </c>
      <c r="N55" s="12">
        <f t="shared" si="3"/>
        <v>291.33333333333309</v>
      </c>
      <c r="O55" s="14">
        <f t="shared" si="4"/>
        <v>0</v>
      </c>
      <c r="P55" s="15">
        <f t="shared" si="5"/>
        <v>-8.666666666666913</v>
      </c>
      <c r="Q55" s="356">
        <f t="shared" si="6"/>
        <v>0.97111111111111026</v>
      </c>
      <c r="R55" s="615"/>
      <c r="S55" s="34">
        <v>0.23333333333333334</v>
      </c>
      <c r="T55" s="34">
        <v>0.24583333333333335</v>
      </c>
      <c r="U55" s="357">
        <f t="shared" ref="U55:U58" si="44">(S55-T54)*24*60</f>
        <v>4.9999999999999822</v>
      </c>
      <c r="V55" s="366">
        <f t="shared" si="42"/>
        <v>18.000000000000014</v>
      </c>
      <c r="W55" s="357"/>
      <c r="X55" s="357"/>
      <c r="Y55" s="357"/>
      <c r="Z55" s="357"/>
      <c r="AA55" s="617"/>
      <c r="AB55" s="617"/>
      <c r="AC55" s="35"/>
      <c r="AD55" s="18"/>
      <c r="AE55" s="14">
        <f t="shared" si="43"/>
        <v>-86.666666666669244</v>
      </c>
      <c r="AF55" s="356">
        <f t="shared" si="9"/>
        <v>0.97111111111111026</v>
      </c>
      <c r="AG55" s="615"/>
    </row>
    <row r="56" spans="1:33" ht="15.75" customHeight="1">
      <c r="A56" s="626" t="s">
        <v>182</v>
      </c>
      <c r="B56" s="367" t="s">
        <v>40</v>
      </c>
      <c r="C56" s="616" t="s">
        <v>51</v>
      </c>
      <c r="D56" s="616"/>
      <c r="E56" s="29">
        <v>26.78</v>
      </c>
      <c r="F56" s="32">
        <v>1994</v>
      </c>
      <c r="G56" s="357">
        <f t="shared" si="40"/>
        <v>53399.32</v>
      </c>
      <c r="H56" s="33" t="s">
        <v>57</v>
      </c>
      <c r="I56" s="365">
        <v>10</v>
      </c>
      <c r="J56" s="31">
        <v>3000</v>
      </c>
      <c r="K56" s="12">
        <f t="shared" si="1"/>
        <v>300</v>
      </c>
      <c r="L56" s="365">
        <v>10</v>
      </c>
      <c r="M56" s="13">
        <f t="shared" si="41"/>
        <v>2918.0487804878039</v>
      </c>
      <c r="N56" s="12">
        <f t="shared" si="3"/>
        <v>291.80487804878038</v>
      </c>
      <c r="O56" s="14">
        <f t="shared" si="4"/>
        <v>0</v>
      </c>
      <c r="P56" s="15">
        <f t="shared" si="5"/>
        <v>-8.1951219512196189</v>
      </c>
      <c r="Q56" s="356">
        <f t="shared" si="6"/>
        <v>0.97268292682926794</v>
      </c>
      <c r="R56" s="615"/>
      <c r="S56" s="34">
        <v>0.25</v>
      </c>
      <c r="T56" s="34">
        <v>0.27847222222222223</v>
      </c>
      <c r="U56" s="357">
        <f t="shared" si="44"/>
        <v>5.9999999999999787</v>
      </c>
      <c r="V56" s="366">
        <f t="shared" si="42"/>
        <v>41.000000000000014</v>
      </c>
      <c r="W56" s="357"/>
      <c r="X56" s="357"/>
      <c r="Y56" s="357"/>
      <c r="Z56" s="357"/>
      <c r="AA56" s="617"/>
      <c r="AB56" s="617"/>
      <c r="AC56" s="35"/>
      <c r="AD56" s="18"/>
      <c r="AE56" s="14">
        <f t="shared" si="43"/>
        <v>-81.951219512196076</v>
      </c>
      <c r="AF56" s="356">
        <f t="shared" si="9"/>
        <v>0.97268292682926794</v>
      </c>
      <c r="AG56" s="615"/>
    </row>
    <row r="57" spans="1:33" ht="15.75" customHeight="1">
      <c r="A57" s="626" t="s">
        <v>182</v>
      </c>
      <c r="B57" s="367" t="s">
        <v>40</v>
      </c>
      <c r="C57" s="616" t="s">
        <v>52</v>
      </c>
      <c r="D57" s="616"/>
      <c r="E57" s="29">
        <v>35.869999999999997</v>
      </c>
      <c r="F57" s="32">
        <v>2901</v>
      </c>
      <c r="G57" s="357">
        <f t="shared" si="40"/>
        <v>104058.87</v>
      </c>
      <c r="H57" s="33" t="s">
        <v>57</v>
      </c>
      <c r="I57" s="365">
        <v>9</v>
      </c>
      <c r="J57" s="31">
        <v>3000</v>
      </c>
      <c r="K57" s="12">
        <f t="shared" si="1"/>
        <v>333.33333333333331</v>
      </c>
      <c r="L57" s="365">
        <v>9</v>
      </c>
      <c r="M57" s="13">
        <f t="shared" si="41"/>
        <v>2853.4426229508185</v>
      </c>
      <c r="N57" s="12">
        <f t="shared" si="3"/>
        <v>317.04918032786873</v>
      </c>
      <c r="O57" s="14">
        <f t="shared" si="4"/>
        <v>0</v>
      </c>
      <c r="P57" s="15">
        <f t="shared" si="5"/>
        <v>-16.284153005464589</v>
      </c>
      <c r="Q57" s="356">
        <f t="shared" si="6"/>
        <v>0.95114754098360621</v>
      </c>
      <c r="R57" s="615"/>
      <c r="S57" s="34">
        <v>0.28194444444444444</v>
      </c>
      <c r="T57" s="34">
        <v>0.32430555555555557</v>
      </c>
      <c r="U57" s="357">
        <f t="shared" si="44"/>
        <v>4.9999999999999822</v>
      </c>
      <c r="V57" s="366">
        <f t="shared" si="42"/>
        <v>61.000000000000021</v>
      </c>
      <c r="W57" s="357"/>
      <c r="X57" s="357"/>
      <c r="Y57" s="357"/>
      <c r="Z57" s="357"/>
      <c r="AA57" s="617"/>
      <c r="AB57" s="617"/>
      <c r="AC57" s="35"/>
      <c r="AD57" s="18"/>
      <c r="AE57" s="14">
        <f t="shared" si="43"/>
        <v>-146.55737704918147</v>
      </c>
      <c r="AF57" s="356">
        <f t="shared" si="9"/>
        <v>0.95114754098360621</v>
      </c>
      <c r="AG57" s="615"/>
    </row>
    <row r="58" spans="1:33">
      <c r="A58" s="627" t="s">
        <v>182</v>
      </c>
      <c r="B58" s="367" t="s">
        <v>40</v>
      </c>
      <c r="C58" s="616" t="s">
        <v>53</v>
      </c>
      <c r="D58" s="616"/>
      <c r="E58" s="29">
        <v>34.35</v>
      </c>
      <c r="F58" s="32">
        <v>1520</v>
      </c>
      <c r="G58" s="357">
        <f t="shared" si="40"/>
        <v>52212</v>
      </c>
      <c r="H58" s="33" t="s">
        <v>57</v>
      </c>
      <c r="I58" s="365">
        <v>8</v>
      </c>
      <c r="J58" s="31">
        <v>3000</v>
      </c>
      <c r="K58" s="12">
        <f t="shared" si="1"/>
        <v>375</v>
      </c>
      <c r="L58" s="365">
        <v>8</v>
      </c>
      <c r="M58" s="13">
        <f t="shared" si="41"/>
        <v>2941.9354838709701</v>
      </c>
      <c r="N58" s="12">
        <f t="shared" si="3"/>
        <v>367.74193548387126</v>
      </c>
      <c r="O58" s="14">
        <f t="shared" si="4"/>
        <v>0</v>
      </c>
      <c r="P58" s="15">
        <f t="shared" si="5"/>
        <v>-7.2580645161287407</v>
      </c>
      <c r="Q58" s="356">
        <f t="shared" si="6"/>
        <v>0.98064516129032331</v>
      </c>
      <c r="R58" s="615"/>
      <c r="S58" s="34">
        <v>0.32916666666666666</v>
      </c>
      <c r="T58" s="34">
        <v>0.35069444444444442</v>
      </c>
      <c r="U58" s="357">
        <f t="shared" si="44"/>
        <v>6.9999999999999751</v>
      </c>
      <c r="V58" s="366">
        <f t="shared" si="42"/>
        <v>30.999999999999972</v>
      </c>
      <c r="W58" s="16"/>
      <c r="X58" s="16"/>
      <c r="Y58" s="16"/>
      <c r="Z58" s="16"/>
      <c r="AA58" s="617"/>
      <c r="AB58" s="617"/>
      <c r="AC58" s="35"/>
      <c r="AD58" s="18"/>
      <c r="AE58" s="14">
        <f t="shared" si="43"/>
        <v>-58.064516129029926</v>
      </c>
      <c r="AF58" s="356">
        <f t="shared" si="9"/>
        <v>0.98064516129032331</v>
      </c>
      <c r="AG58" s="615"/>
    </row>
    <row r="59" spans="1:33">
      <c r="A59" s="627" t="s">
        <v>182</v>
      </c>
      <c r="B59" s="29" t="s">
        <v>6</v>
      </c>
      <c r="C59" s="618"/>
      <c r="D59" s="618"/>
      <c r="E59" s="358"/>
      <c r="F59" s="30"/>
      <c r="G59" s="12"/>
      <c r="H59" s="367"/>
      <c r="I59" s="23">
        <v>9.4</v>
      </c>
      <c r="J59" s="31">
        <v>3000</v>
      </c>
      <c r="K59" s="12">
        <f t="shared" si="1"/>
        <v>319.14893617021278</v>
      </c>
      <c r="L59" s="23">
        <v>9.4</v>
      </c>
      <c r="M59" s="13">
        <f>AVERAGE(M54:M58)</f>
        <v>2901.3520441285846</v>
      </c>
      <c r="N59" s="12">
        <f t="shared" si="3"/>
        <v>308.65447277963665</v>
      </c>
      <c r="O59" s="14">
        <f t="shared" si="4"/>
        <v>0</v>
      </c>
      <c r="P59" s="15">
        <f t="shared" si="5"/>
        <v>-10.494463390576129</v>
      </c>
      <c r="Q59" s="356">
        <f t="shared" si="6"/>
        <v>0.96711734804286142</v>
      </c>
      <c r="R59" s="615"/>
      <c r="S59" s="34"/>
      <c r="T59" s="34"/>
      <c r="U59" s="12"/>
      <c r="V59" s="366"/>
      <c r="W59" s="12"/>
      <c r="X59" s="12"/>
      <c r="Y59" s="24">
        <f>SUM(Y54:Y58)</f>
        <v>0</v>
      </c>
      <c r="Z59" s="24">
        <f>SUM(Z54:Z58)</f>
        <v>0</v>
      </c>
      <c r="AA59" s="614"/>
      <c r="AB59" s="614"/>
      <c r="AC59" s="24">
        <v>5</v>
      </c>
      <c r="AD59" s="24">
        <f>SUM(AD54:AD58)</f>
        <v>0</v>
      </c>
      <c r="AE59" s="14">
        <f t="shared" si="43"/>
        <v>-98.647955871415434</v>
      </c>
      <c r="AF59" s="356">
        <f t="shared" si="9"/>
        <v>0.96711734804286154</v>
      </c>
      <c r="AG59" s="615"/>
    </row>
    <row r="60" spans="1:33" ht="15.75" customHeight="1">
      <c r="A60" s="619" t="s">
        <v>14</v>
      </c>
      <c r="B60" s="367" t="s">
        <v>32</v>
      </c>
      <c r="C60" s="616" t="s">
        <v>56</v>
      </c>
      <c r="D60" s="616"/>
      <c r="E60" s="29">
        <v>19.02</v>
      </c>
      <c r="F60" s="367">
        <v>6380</v>
      </c>
      <c r="G60" s="357">
        <f t="shared" ref="G60:G64" si="45">E60*F60</f>
        <v>121347.59999999999</v>
      </c>
      <c r="H60" s="33" t="s">
        <v>57</v>
      </c>
      <c r="I60" s="365">
        <v>14</v>
      </c>
      <c r="J60" s="31">
        <v>2400</v>
      </c>
      <c r="K60" s="12">
        <f t="shared" si="1"/>
        <v>171.42857142857142</v>
      </c>
      <c r="L60" s="365">
        <v>14</v>
      </c>
      <c r="M60" s="13">
        <f t="shared" ref="M60:M64" si="46">F60/V60*60</f>
        <v>2292.2155688622752</v>
      </c>
      <c r="N60" s="12">
        <f t="shared" si="3"/>
        <v>163.7296834901625</v>
      </c>
      <c r="O60" s="14">
        <f t="shared" si="4"/>
        <v>0</v>
      </c>
      <c r="P60" s="15">
        <f t="shared" si="5"/>
        <v>-7.6988879384089159</v>
      </c>
      <c r="Q60" s="356">
        <f t="shared" si="6"/>
        <v>0.95508982035928136</v>
      </c>
      <c r="R60" s="615">
        <f>Q65</f>
        <v>0.95418053499672528</v>
      </c>
      <c r="S60" s="34">
        <v>8.3333333333333329E-2</v>
      </c>
      <c r="T60" s="34">
        <v>0.19930555555555554</v>
      </c>
      <c r="U60" s="21"/>
      <c r="V60" s="366">
        <f t="shared" ref="V60:V64" si="47">(T60-S60)*24*60</f>
        <v>167</v>
      </c>
      <c r="W60" s="16">
        <f>T60</f>
        <v>0.19930555555555554</v>
      </c>
      <c r="X60" s="16">
        <f>S61</f>
        <v>0.21874999999999997</v>
      </c>
      <c r="Y60" s="16"/>
      <c r="Z60" s="16"/>
      <c r="AA60" s="617"/>
      <c r="AB60" s="617"/>
      <c r="AC60" s="35">
        <v>5</v>
      </c>
      <c r="AD60" s="18"/>
      <c r="AE60" s="14">
        <f t="shared" si="43"/>
        <v>-107.78443113772482</v>
      </c>
      <c r="AF60" s="356">
        <f t="shared" si="9"/>
        <v>0.95508982035928136</v>
      </c>
      <c r="AG60" s="615">
        <f>AF65</f>
        <v>0.95418053499672506</v>
      </c>
    </row>
    <row r="61" spans="1:33" ht="15.75" customHeight="1">
      <c r="A61" s="620" t="s">
        <v>14</v>
      </c>
      <c r="B61" s="367" t="s">
        <v>32</v>
      </c>
      <c r="C61" s="616" t="s">
        <v>36</v>
      </c>
      <c r="D61" s="616"/>
      <c r="E61" s="29">
        <v>20.36</v>
      </c>
      <c r="F61" s="367">
        <v>3563</v>
      </c>
      <c r="G61" s="357">
        <f t="shared" si="45"/>
        <v>72542.679999999993</v>
      </c>
      <c r="H61" s="33" t="s">
        <v>57</v>
      </c>
      <c r="I61" s="365">
        <v>17</v>
      </c>
      <c r="J61" s="31">
        <v>2400</v>
      </c>
      <c r="K61" s="12">
        <f t="shared" si="1"/>
        <v>141.1764705882353</v>
      </c>
      <c r="L61" s="365">
        <v>17</v>
      </c>
      <c r="M61" s="13">
        <f t="shared" si="46"/>
        <v>2298.7096774193542</v>
      </c>
      <c r="N61" s="12">
        <f t="shared" si="3"/>
        <v>135.21821631878555</v>
      </c>
      <c r="O61" s="14">
        <f t="shared" si="4"/>
        <v>0</v>
      </c>
      <c r="P61" s="15">
        <f t="shared" si="5"/>
        <v>-5.9582542694497533</v>
      </c>
      <c r="Q61" s="356">
        <f t="shared" si="6"/>
        <v>0.95779569892473093</v>
      </c>
      <c r="R61" s="615"/>
      <c r="S61" s="34">
        <v>0.21874999999999997</v>
      </c>
      <c r="T61" s="34">
        <v>0.28333333333333333</v>
      </c>
      <c r="U61" s="357">
        <f t="shared" ref="U61:U64" si="48">(S61-T60)*24*60</f>
        <v>27.999999999999979</v>
      </c>
      <c r="V61" s="366">
        <f t="shared" si="47"/>
        <v>93.000000000000028</v>
      </c>
      <c r="W61" s="16"/>
      <c r="X61" s="16"/>
      <c r="Y61" s="16"/>
      <c r="Z61" s="16"/>
      <c r="AA61" s="617"/>
      <c r="AB61" s="617"/>
      <c r="AC61" s="35"/>
      <c r="AD61" s="18"/>
      <c r="AE61" s="14">
        <f t="shared" si="43"/>
        <v>-101.29032258064581</v>
      </c>
      <c r="AF61" s="356">
        <f t="shared" si="9"/>
        <v>0.95779569892473093</v>
      </c>
      <c r="AG61" s="615"/>
    </row>
    <row r="62" spans="1:33" ht="15.75" customHeight="1">
      <c r="A62" s="620" t="s">
        <v>14</v>
      </c>
      <c r="B62" s="367" t="s">
        <v>32</v>
      </c>
      <c r="C62" s="616" t="s">
        <v>54</v>
      </c>
      <c r="D62" s="616"/>
      <c r="E62" s="29">
        <v>20.21</v>
      </c>
      <c r="F62" s="367">
        <v>2476</v>
      </c>
      <c r="G62" s="357">
        <f t="shared" si="45"/>
        <v>50039.96</v>
      </c>
      <c r="H62" s="33" t="s">
        <v>57</v>
      </c>
      <c r="I62" s="365">
        <v>15</v>
      </c>
      <c r="J62" s="31">
        <v>2400</v>
      </c>
      <c r="K62" s="12">
        <f t="shared" si="1"/>
        <v>160</v>
      </c>
      <c r="L62" s="365">
        <v>15</v>
      </c>
      <c r="M62" s="13">
        <f t="shared" si="46"/>
        <v>2285.538461538461</v>
      </c>
      <c r="N62" s="12">
        <f t="shared" si="3"/>
        <v>152.36923076923074</v>
      </c>
      <c r="O62" s="14">
        <f t="shared" si="4"/>
        <v>0</v>
      </c>
      <c r="P62" s="15">
        <f t="shared" si="5"/>
        <v>-7.6307692307692605</v>
      </c>
      <c r="Q62" s="356">
        <f t="shared" si="6"/>
        <v>0.95230769230769208</v>
      </c>
      <c r="R62" s="615"/>
      <c r="S62" s="34">
        <v>0.28819444444444442</v>
      </c>
      <c r="T62" s="34">
        <v>0.33333333333333331</v>
      </c>
      <c r="U62" s="357">
        <f t="shared" si="48"/>
        <v>6.9999999999999751</v>
      </c>
      <c r="V62" s="366">
        <f t="shared" si="47"/>
        <v>65.000000000000014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-114.46153846153902</v>
      </c>
      <c r="AF62" s="356">
        <f t="shared" si="9"/>
        <v>0.95230769230769208</v>
      </c>
      <c r="AG62" s="615"/>
    </row>
    <row r="63" spans="1:33" ht="15.75" customHeight="1">
      <c r="A63" s="620" t="s">
        <v>14</v>
      </c>
      <c r="B63" s="367" t="s">
        <v>32</v>
      </c>
      <c r="C63" s="616" t="s">
        <v>55</v>
      </c>
      <c r="D63" s="616"/>
      <c r="E63" s="29">
        <v>22.69</v>
      </c>
      <c r="F63" s="367">
        <v>2706</v>
      </c>
      <c r="G63" s="357">
        <f t="shared" si="45"/>
        <v>61399.140000000007</v>
      </c>
      <c r="H63" s="33" t="s">
        <v>57</v>
      </c>
      <c r="I63" s="365">
        <v>15</v>
      </c>
      <c r="J63" s="31">
        <v>2400</v>
      </c>
      <c r="K63" s="12">
        <f t="shared" si="1"/>
        <v>160</v>
      </c>
      <c r="L63" s="365">
        <v>15</v>
      </c>
      <c r="M63" s="13">
        <f t="shared" si="46"/>
        <v>2286.7605633802823</v>
      </c>
      <c r="N63" s="12">
        <f t="shared" si="3"/>
        <v>152.45070422535215</v>
      </c>
      <c r="O63" s="14">
        <f t="shared" si="4"/>
        <v>0</v>
      </c>
      <c r="P63" s="15">
        <f t="shared" si="5"/>
        <v>-7.5492957746478453</v>
      </c>
      <c r="Q63" s="356">
        <f t="shared" si="6"/>
        <v>0.95281690140845099</v>
      </c>
      <c r="R63" s="615"/>
      <c r="S63" s="34">
        <v>0.33819444444444441</v>
      </c>
      <c r="T63" s="34">
        <v>0.38749999999999996</v>
      </c>
      <c r="U63" s="357">
        <f t="shared" si="48"/>
        <v>6.9999999999999751</v>
      </c>
      <c r="V63" s="366">
        <f t="shared" si="47"/>
        <v>70.999999999999986</v>
      </c>
      <c r="W63" s="16"/>
      <c r="X63" s="16"/>
      <c r="Y63" s="16"/>
      <c r="Z63" s="16"/>
      <c r="AA63" s="617"/>
      <c r="AB63" s="617"/>
      <c r="AC63" s="35"/>
      <c r="AD63" s="18"/>
      <c r="AE63" s="14">
        <f t="shared" si="43"/>
        <v>-113.23943661971771</v>
      </c>
      <c r="AF63" s="356">
        <f t="shared" si="9"/>
        <v>0.95281690140845099</v>
      </c>
      <c r="AG63" s="615"/>
    </row>
    <row r="64" spans="1:33" ht="15.75" customHeight="1">
      <c r="A64" s="620" t="s">
        <v>14</v>
      </c>
      <c r="B64" s="367" t="s">
        <v>32</v>
      </c>
      <c r="C64" s="616" t="s">
        <v>949</v>
      </c>
      <c r="D64" s="616"/>
      <c r="E64" s="29">
        <v>25.98</v>
      </c>
      <c r="F64" s="367">
        <v>4612</v>
      </c>
      <c r="G64" s="357">
        <f t="shared" si="45"/>
        <v>119819.76</v>
      </c>
      <c r="H64" s="33" t="s">
        <v>57</v>
      </c>
      <c r="I64" s="365">
        <v>17</v>
      </c>
      <c r="J64" s="31">
        <v>2400</v>
      </c>
      <c r="K64" s="12">
        <f t="shared" si="1"/>
        <v>141.1764705882353</v>
      </c>
      <c r="L64" s="365">
        <v>17</v>
      </c>
      <c r="M64" s="13">
        <f t="shared" si="46"/>
        <v>2286.9421487603308</v>
      </c>
      <c r="N64" s="12">
        <f t="shared" si="3"/>
        <v>134.5260087506077</v>
      </c>
      <c r="O64" s="14">
        <f t="shared" si="4"/>
        <v>0</v>
      </c>
      <c r="P64" s="15">
        <f t="shared" si="5"/>
        <v>-6.6504618376276028</v>
      </c>
      <c r="Q64" s="356">
        <f t="shared" si="6"/>
        <v>0.95289256198347116</v>
      </c>
      <c r="R64" s="615"/>
      <c r="S64" s="34">
        <v>0.39097222222222217</v>
      </c>
      <c r="T64" s="34">
        <v>0.47499999999999992</v>
      </c>
      <c r="U64" s="357">
        <f t="shared" si="48"/>
        <v>4.9999999999999822</v>
      </c>
      <c r="V64" s="366">
        <f t="shared" si="47"/>
        <v>120.99999999999997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-113.05785123966916</v>
      </c>
      <c r="AF64" s="356">
        <f t="shared" si="9"/>
        <v>0.95289256198347116</v>
      </c>
      <c r="AG64" s="615"/>
    </row>
    <row r="65" spans="1:33" ht="16.5" customHeight="1">
      <c r="A65" s="621" t="s">
        <v>14</v>
      </c>
      <c r="B65" s="29" t="s">
        <v>6</v>
      </c>
      <c r="C65" s="612"/>
      <c r="D65" s="613"/>
      <c r="E65" s="358"/>
      <c r="F65" s="30"/>
      <c r="G65" s="12"/>
      <c r="H65" s="367"/>
      <c r="I65" s="23">
        <v>15.6</v>
      </c>
      <c r="J65" s="31">
        <v>2400</v>
      </c>
      <c r="K65" s="12">
        <f t="shared" si="1"/>
        <v>153.84615384615384</v>
      </c>
      <c r="L65" s="23">
        <v>15.6</v>
      </c>
      <c r="M65" s="13">
        <f>AVERAGE(M60:M64)</f>
        <v>2290.0332839921402</v>
      </c>
      <c r="N65" s="12">
        <f t="shared" si="3"/>
        <v>146.79700538411157</v>
      </c>
      <c r="O65" s="14">
        <f t="shared" si="4"/>
        <v>0</v>
      </c>
      <c r="P65" s="15">
        <f t="shared" si="5"/>
        <v>-7.0491484620422682</v>
      </c>
      <c r="Q65" s="356">
        <f t="shared" si="6"/>
        <v>0.95418053499672528</v>
      </c>
      <c r="R65" s="615"/>
      <c r="S65" s="34"/>
      <c r="T65" s="34"/>
      <c r="U65" s="12"/>
      <c r="V65" s="366"/>
      <c r="W65" s="12"/>
      <c r="X65" s="12"/>
      <c r="Y65" s="24">
        <f>SUM(Y60:Y64)</f>
        <v>0</v>
      </c>
      <c r="Z65" s="24">
        <f>SUM(Z60:Z64)</f>
        <v>0</v>
      </c>
      <c r="AA65" s="614"/>
      <c r="AB65" s="614"/>
      <c r="AC65" s="24">
        <v>5</v>
      </c>
      <c r="AD65" s="24">
        <f>SUM(AD60:AD64)</f>
        <v>0</v>
      </c>
      <c r="AE65" s="14">
        <f t="shared" si="43"/>
        <v>-109.96671600785976</v>
      </c>
      <c r="AF65" s="356">
        <f t="shared" si="9"/>
        <v>0.95418053499672506</v>
      </c>
      <c r="AG65" s="615"/>
    </row>
    <row r="66" spans="1:33">
      <c r="D66" s="25"/>
      <c r="E66" s="25"/>
    </row>
  </sheetData>
  <mergeCells count="179"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0:A65"/>
    <mergeCell ref="C60:D60"/>
    <mergeCell ref="R60:R65"/>
    <mergeCell ref="AA60:AB60"/>
    <mergeCell ref="AA65:AB65"/>
    <mergeCell ref="A54:A59"/>
    <mergeCell ref="C54:D54"/>
    <mergeCell ref="R54:R59"/>
    <mergeCell ref="AA54:AB54"/>
    <mergeCell ref="AG54:AG59"/>
    <mergeCell ref="C55:D55"/>
    <mergeCell ref="AA55:AB55"/>
    <mergeCell ref="C56:D56"/>
    <mergeCell ref="AA56:AB56"/>
    <mergeCell ref="C57:D57"/>
    <mergeCell ref="AA50:AB50"/>
    <mergeCell ref="C51:D51"/>
    <mergeCell ref="AA51:AB51"/>
    <mergeCell ref="C52:D52"/>
    <mergeCell ref="AA52:AB52"/>
    <mergeCell ref="C53:D53"/>
    <mergeCell ref="AA53:AB53"/>
    <mergeCell ref="AA57:AB57"/>
    <mergeCell ref="C58:D58"/>
    <mergeCell ref="AA58:AB58"/>
    <mergeCell ref="C59:D59"/>
    <mergeCell ref="AA59:AB59"/>
    <mergeCell ref="A46:A53"/>
    <mergeCell ref="C46:D46"/>
    <mergeCell ref="R46:R53"/>
    <mergeCell ref="AA46:AB46"/>
    <mergeCell ref="AG46:AG53"/>
    <mergeCell ref="C47:D47"/>
    <mergeCell ref="AA47:AB47"/>
    <mergeCell ref="C48:D48"/>
    <mergeCell ref="AA48:AB48"/>
    <mergeCell ref="AA49:AB49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0:D40"/>
    <mergeCell ref="AA40:AB40"/>
    <mergeCell ref="A41:A45"/>
    <mergeCell ref="C41:D41"/>
    <mergeCell ref="R41:R45"/>
    <mergeCell ref="AA41:AB41"/>
    <mergeCell ref="A35:A40"/>
    <mergeCell ref="C35:D35"/>
    <mergeCell ref="R35:R40"/>
    <mergeCell ref="AA35:AB35"/>
    <mergeCell ref="A29:A34"/>
    <mergeCell ref="C29:D29"/>
    <mergeCell ref="R29:R34"/>
    <mergeCell ref="AA29:AB29"/>
    <mergeCell ref="AA34:AB34"/>
    <mergeCell ref="AG35:AG40"/>
    <mergeCell ref="C36:D36"/>
    <mergeCell ref="AA36:AB36"/>
    <mergeCell ref="C37:D37"/>
    <mergeCell ref="AA37:AB37"/>
    <mergeCell ref="C38:D38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8:AB38"/>
    <mergeCell ref="C39:D39"/>
    <mergeCell ref="AA39:AB39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3:O54 O57:O65 O5:O9 O12:O14 O20:O51">
    <cfRule type="cellIs" dxfId="1193" priority="48" operator="greaterThan">
      <formula>0</formula>
    </cfRule>
  </conditionalFormatting>
  <conditionalFormatting sqref="P5:P7 P57:P58 AE57:AE58 P60:P64 P29:P33 P54 P9 P12:P14 P21:P27 P46:P51 P35:P44 AE5:AE54 AE60:AE65">
    <cfRule type="cellIs" dxfId="1192" priority="52" operator="lessThan">
      <formula>0</formula>
    </cfRule>
  </conditionalFormatting>
  <conditionalFormatting sqref="AF57:AF58 Q53:Q54 Q57:Q65 Q5:Q9 Q12:Q14 Q20:Q51 AF5:AF54 AF60:AF65">
    <cfRule type="cellIs" dxfId="1191" priority="49" operator="greaterThan">
      <formula>1</formula>
    </cfRule>
    <cfRule type="cellIs" dxfId="1190" priority="50" operator="lessThan">
      <formula>0.8</formula>
    </cfRule>
  </conditionalFormatting>
  <conditionalFormatting sqref="AG13:AG14 R13:R14 AG57 R20:R26 AG20:AG26 AG53:AG54 R53:R54 R57:R65 AG5:AG9 R5:R9 AG28:AG51 R28:R51">
    <cfRule type="cellIs" dxfId="1189" priority="54" operator="lessThan">
      <formula>0.8</formula>
    </cfRule>
  </conditionalFormatting>
  <conditionalFormatting sqref="AG41">
    <cfRule type="cellIs" dxfId="1188" priority="56" operator="lessThan">
      <formula>0.8</formula>
    </cfRule>
  </conditionalFormatting>
  <conditionalFormatting sqref="AG21:AG26">
    <cfRule type="cellIs" dxfId="1187" priority="53" operator="lessThan">
      <formula>0.8</formula>
    </cfRule>
  </conditionalFormatting>
  <conditionalFormatting sqref="AG29">
    <cfRule type="cellIs" dxfId="1186" priority="55" operator="lessThan">
      <formula>0.8</formula>
    </cfRule>
  </conditionalFormatting>
  <conditionalFormatting sqref="AG35:AG39">
    <cfRule type="cellIs" dxfId="1185" priority="51" operator="lessThan">
      <formula>0.8</formula>
    </cfRule>
  </conditionalFormatting>
  <conditionalFormatting sqref="AE59">
    <cfRule type="cellIs" dxfId="1184" priority="47" operator="lessThan">
      <formula>0</formula>
    </cfRule>
  </conditionalFormatting>
  <conditionalFormatting sqref="AF59">
    <cfRule type="cellIs" dxfId="1183" priority="45" operator="greaterThan">
      <formula>1</formula>
    </cfRule>
    <cfRule type="cellIs" dxfId="1182" priority="46" operator="lessThan">
      <formula>0.8</formula>
    </cfRule>
  </conditionalFormatting>
  <conditionalFormatting sqref="O15:O16">
    <cfRule type="cellIs" dxfId="1181" priority="40" operator="greaterThan">
      <formula>0</formula>
    </cfRule>
  </conditionalFormatting>
  <conditionalFormatting sqref="P15:P16">
    <cfRule type="cellIs" dxfId="1180" priority="43" operator="lessThan">
      <formula>0</formula>
    </cfRule>
  </conditionalFormatting>
  <conditionalFormatting sqref="Q15:Q16">
    <cfRule type="cellIs" dxfId="1179" priority="41" operator="greaterThan">
      <formula>1</formula>
    </cfRule>
    <cfRule type="cellIs" dxfId="1178" priority="42" operator="lessThan">
      <formula>0.8</formula>
    </cfRule>
  </conditionalFormatting>
  <conditionalFormatting sqref="R15:R16 AG15:AG16">
    <cfRule type="cellIs" dxfId="1177" priority="44" operator="lessThan">
      <formula>0.8</formula>
    </cfRule>
  </conditionalFormatting>
  <conditionalFormatting sqref="O10:O11">
    <cfRule type="cellIs" dxfId="1176" priority="36" operator="greaterThan">
      <formula>0</formula>
    </cfRule>
  </conditionalFormatting>
  <conditionalFormatting sqref="P10:P11">
    <cfRule type="cellIs" dxfId="1175" priority="39" operator="lessThan">
      <formula>0</formula>
    </cfRule>
  </conditionalFormatting>
  <conditionalFormatting sqref="Q10:Q11">
    <cfRule type="cellIs" dxfId="1174" priority="37" operator="greaterThan">
      <formula>1</formula>
    </cfRule>
    <cfRule type="cellIs" dxfId="1173" priority="38" operator="lessThan">
      <formula>0.8</formula>
    </cfRule>
  </conditionalFormatting>
  <conditionalFormatting sqref="O52">
    <cfRule type="cellIs" dxfId="1172" priority="31" operator="greaterThan">
      <formula>0</formula>
    </cfRule>
  </conditionalFormatting>
  <conditionalFormatting sqref="P52">
    <cfRule type="cellIs" dxfId="1171" priority="34" operator="lessThan">
      <formula>0</formula>
    </cfRule>
  </conditionalFormatting>
  <conditionalFormatting sqref="Q52">
    <cfRule type="cellIs" dxfId="1170" priority="32" operator="greaterThan">
      <formula>1</formula>
    </cfRule>
    <cfRule type="cellIs" dxfId="1169" priority="33" operator="lessThan">
      <formula>0.8</formula>
    </cfRule>
  </conditionalFormatting>
  <conditionalFormatting sqref="R52 AG52">
    <cfRule type="cellIs" dxfId="1168" priority="35" operator="lessThan">
      <formula>0.8</formula>
    </cfRule>
  </conditionalFormatting>
  <conditionalFormatting sqref="O56">
    <cfRule type="cellIs" dxfId="1167" priority="26" operator="greaterThan">
      <formula>0</formula>
    </cfRule>
  </conditionalFormatting>
  <conditionalFormatting sqref="P56 AE56">
    <cfRule type="cellIs" dxfId="1166" priority="29" operator="lessThan">
      <formula>0</formula>
    </cfRule>
  </conditionalFormatting>
  <conditionalFormatting sqref="Q56 AF56">
    <cfRule type="cellIs" dxfId="1165" priority="27" operator="greaterThan">
      <formula>1</formula>
    </cfRule>
    <cfRule type="cellIs" dxfId="1164" priority="28" operator="lessThan">
      <formula>0.8</formula>
    </cfRule>
  </conditionalFormatting>
  <conditionalFormatting sqref="R56 AG56">
    <cfRule type="cellIs" dxfId="1163" priority="30" operator="lessThan">
      <formula>0.8</formula>
    </cfRule>
  </conditionalFormatting>
  <conditionalFormatting sqref="O17:O18">
    <cfRule type="cellIs" dxfId="1162" priority="21" operator="greaterThan">
      <formula>0</formula>
    </cfRule>
  </conditionalFormatting>
  <conditionalFormatting sqref="P17:P18">
    <cfRule type="cellIs" dxfId="1161" priority="24" operator="lessThan">
      <formula>0</formula>
    </cfRule>
  </conditionalFormatting>
  <conditionalFormatting sqref="Q17:Q18">
    <cfRule type="cellIs" dxfId="1160" priority="22" operator="greaterThan">
      <formula>1</formula>
    </cfRule>
    <cfRule type="cellIs" dxfId="1159" priority="23" operator="lessThan">
      <formula>0.8</formula>
    </cfRule>
  </conditionalFormatting>
  <conditionalFormatting sqref="R17:R18 AG17:AG18">
    <cfRule type="cellIs" dxfId="1158" priority="25" operator="lessThan">
      <formula>0.8</formula>
    </cfRule>
  </conditionalFormatting>
  <conditionalFormatting sqref="R27 AG27">
    <cfRule type="cellIs" dxfId="1157" priority="20" operator="lessThan">
      <formula>0.8</formula>
    </cfRule>
  </conditionalFormatting>
  <conditionalFormatting sqref="AG27">
    <cfRule type="cellIs" dxfId="1156" priority="19" operator="lessThan">
      <formula>0.8</formula>
    </cfRule>
  </conditionalFormatting>
  <conditionalFormatting sqref="O55">
    <cfRule type="cellIs" dxfId="1155" priority="14" operator="greaterThan">
      <formula>0</formula>
    </cfRule>
  </conditionalFormatting>
  <conditionalFormatting sqref="P55 AE55">
    <cfRule type="cellIs" dxfId="1154" priority="17" operator="lessThan">
      <formula>0</formula>
    </cfRule>
  </conditionalFormatting>
  <conditionalFormatting sqref="Q55 AF55">
    <cfRule type="cellIs" dxfId="1153" priority="15" operator="greaterThan">
      <formula>1</formula>
    </cfRule>
    <cfRule type="cellIs" dxfId="1152" priority="16" operator="lessThan">
      <formula>0.8</formula>
    </cfRule>
  </conditionalFormatting>
  <conditionalFormatting sqref="R55 AG55">
    <cfRule type="cellIs" dxfId="1151" priority="18" operator="lessThan">
      <formula>0.8</formula>
    </cfRule>
  </conditionalFormatting>
  <conditionalFormatting sqref="O19">
    <cfRule type="cellIs" dxfId="1150" priority="9" operator="greaterThan">
      <formula>0</formula>
    </cfRule>
  </conditionalFormatting>
  <conditionalFormatting sqref="P19">
    <cfRule type="cellIs" dxfId="1149" priority="12" operator="lessThan">
      <formula>0</formula>
    </cfRule>
  </conditionalFormatting>
  <conditionalFormatting sqref="Q19">
    <cfRule type="cellIs" dxfId="1148" priority="10" operator="greaterThan">
      <formula>1</formula>
    </cfRule>
    <cfRule type="cellIs" dxfId="1147" priority="11" operator="lessThan">
      <formula>0.8</formula>
    </cfRule>
  </conditionalFormatting>
  <conditionalFormatting sqref="AG19 R19">
    <cfRule type="cellIs" dxfId="1146" priority="13" operator="lessThan">
      <formula>0.8</formula>
    </cfRule>
  </conditionalFormatting>
  <conditionalFormatting sqref="P8">
    <cfRule type="cellIs" dxfId="1145" priority="8" operator="lessThan">
      <formula>0</formula>
    </cfRule>
  </conditionalFormatting>
  <conditionalFormatting sqref="P20">
    <cfRule type="cellIs" dxfId="1144" priority="7" operator="lessThan">
      <formula>0</formula>
    </cfRule>
  </conditionalFormatting>
  <conditionalFormatting sqref="P28">
    <cfRule type="cellIs" dxfId="1143" priority="6" operator="lessThan">
      <formula>0</formula>
    </cfRule>
  </conditionalFormatting>
  <conditionalFormatting sqref="P34">
    <cfRule type="cellIs" dxfId="1142" priority="5" operator="lessThan">
      <formula>0</formula>
    </cfRule>
  </conditionalFormatting>
  <conditionalFormatting sqref="P45">
    <cfRule type="cellIs" dxfId="1141" priority="4" operator="lessThan">
      <formula>0</formula>
    </cfRule>
  </conditionalFormatting>
  <conditionalFormatting sqref="P53">
    <cfRule type="cellIs" dxfId="1140" priority="3" operator="lessThan">
      <formula>0</formula>
    </cfRule>
  </conditionalFormatting>
  <conditionalFormatting sqref="P59">
    <cfRule type="cellIs" dxfId="1139" priority="2" operator="lessThan">
      <formula>0</formula>
    </cfRule>
  </conditionalFormatting>
  <conditionalFormatting sqref="P65">
    <cfRule type="cellIs" dxfId="1138" priority="1" operator="lessThan">
      <formula>0</formula>
    </cfRule>
  </conditionalFormatting>
  <dataValidations count="1">
    <dataValidation type="list" allowBlank="1" showInputMessage="1" showErrorMessage="1" sqref="AB8 AA5:AB7 AB58 AA8:AA58 AB10:AB54 AA59:AB6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1491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1492</v>
      </c>
      <c r="C3" s="601" t="str">
        <f>TEXT('0617 4度C'!A2,"yyyy.mm.ddaaaa")</f>
        <v>2026.06.17星期三</v>
      </c>
      <c r="D3" s="602"/>
      <c r="E3" s="39" t="s">
        <v>1493</v>
      </c>
      <c r="F3" s="603">
        <f>'0617 4度C'!D1</f>
        <v>167834</v>
      </c>
      <c r="G3" s="604"/>
      <c r="H3" s="39" t="s">
        <v>1494</v>
      </c>
      <c r="I3" s="605">
        <f>'0617 4度C'!F1</f>
        <v>5732346.549999998</v>
      </c>
      <c r="J3" s="606"/>
      <c r="K3" s="40"/>
      <c r="L3" s="41"/>
      <c r="M3" s="42"/>
      <c r="N3" s="42"/>
    </row>
    <row r="4" spans="2:17" ht="28.5" customHeight="1">
      <c r="B4" s="607" t="s">
        <v>1495</v>
      </c>
      <c r="C4" s="593" t="s">
        <v>1496</v>
      </c>
      <c r="D4" s="594"/>
      <c r="E4" s="610" t="s">
        <v>1497</v>
      </c>
      <c r="F4" s="611"/>
      <c r="G4" s="610" t="s">
        <v>1498</v>
      </c>
      <c r="H4" s="611"/>
      <c r="I4" s="610" t="s">
        <v>1499</v>
      </c>
      <c r="J4" s="611"/>
      <c r="K4" s="591" t="s">
        <v>1500</v>
      </c>
      <c r="L4" s="592"/>
      <c r="M4" s="592" t="s">
        <v>1501</v>
      </c>
      <c r="N4" s="592"/>
    </row>
    <row r="5" spans="2:17" ht="28.5" customHeight="1">
      <c r="B5" s="608"/>
      <c r="C5" s="593" t="s">
        <v>1502</v>
      </c>
      <c r="D5" s="594"/>
      <c r="E5" s="593" t="s">
        <v>1503</v>
      </c>
      <c r="F5" s="594"/>
      <c r="G5" s="595" t="s">
        <v>1504</v>
      </c>
      <c r="H5" s="596"/>
      <c r="I5" s="597" t="s">
        <v>1505</v>
      </c>
      <c r="J5" s="598"/>
      <c r="K5" s="43" t="s">
        <v>1506</v>
      </c>
      <c r="L5" s="44" t="s">
        <v>1507</v>
      </c>
      <c r="M5" s="43" t="s">
        <v>1506</v>
      </c>
      <c r="N5" s="44" t="s">
        <v>1508</v>
      </c>
    </row>
    <row r="6" spans="2:17" ht="28.5" customHeight="1">
      <c r="B6" s="608"/>
      <c r="C6" s="593" t="s">
        <v>58</v>
      </c>
      <c r="D6" s="594"/>
      <c r="E6" s="585">
        <f>AVERAGE(D13:M13)</f>
        <v>153.46116202644276</v>
      </c>
      <c r="F6" s="586">
        <f>AVERAGE(D31:O31,D13:J13)</f>
        <v>159.25216119863742</v>
      </c>
      <c r="G6" s="587">
        <f>AVERAGE(D13:J13)</f>
        <v>159.25216119863742</v>
      </c>
      <c r="H6" s="588"/>
      <c r="I6" s="587">
        <f>AVERAGE(K13:M13)</f>
        <v>139.94883062465519</v>
      </c>
      <c r="J6" s="588"/>
      <c r="K6" s="589">
        <f>'0617 4度C'!Y2</f>
        <v>0</v>
      </c>
      <c r="L6" s="574">
        <f>'0617 4度C'!Z2</f>
        <v>0</v>
      </c>
      <c r="M6" s="590">
        <f>'0617 4度C'!AC2</f>
        <v>56</v>
      </c>
      <c r="N6" s="574">
        <f>'0617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147.23253812489094</v>
      </c>
      <c r="F7" s="578">
        <f>AVERAGE(D32:O32,D14:J14)</f>
        <v>153.0529699626922</v>
      </c>
      <c r="G7" s="579">
        <f>AVERAGE(D14:J14)</f>
        <v>153.0529699626922</v>
      </c>
      <c r="H7" s="580"/>
      <c r="I7" s="579">
        <f>AVERAGE(K14:M14)</f>
        <v>133.65153050335473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0.95810350570630953</v>
      </c>
      <c r="F8" s="582">
        <f>AVERAGE(D15:J15,D33:O33)</f>
        <v>0.95946173394356038</v>
      </c>
      <c r="G8" s="583">
        <f>AVERAGE(D15:J15)</f>
        <v>0.95946173394356038</v>
      </c>
      <c r="H8" s="584"/>
      <c r="I8" s="583">
        <f>AVERAGE(K15:M15)</f>
        <v>0.9549343064860577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1509</v>
      </c>
      <c r="N9" s="42"/>
      <c r="O9" s="42"/>
      <c r="P9" s="42"/>
      <c r="Q9" s="42"/>
    </row>
    <row r="10" spans="2:17" ht="30" customHeight="1">
      <c r="B10" s="557" t="s">
        <v>1510</v>
      </c>
      <c r="C10" s="558"/>
      <c r="D10" s="559" t="s">
        <v>1511</v>
      </c>
      <c r="E10" s="560"/>
      <c r="F10" s="560"/>
      <c r="G10" s="560"/>
      <c r="H10" s="560"/>
      <c r="I10" s="560"/>
      <c r="J10" s="561"/>
      <c r="K10" s="562" t="s">
        <v>1512</v>
      </c>
      <c r="L10" s="563"/>
      <c r="M10" s="564"/>
      <c r="P10" s="48"/>
      <c r="Q10" s="48"/>
    </row>
    <row r="11" spans="2:17" ht="17.25" customHeight="1">
      <c r="B11" s="565" t="s">
        <v>1513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1514</v>
      </c>
      <c r="C13" s="55" t="s">
        <v>1515</v>
      </c>
      <c r="D13" s="56">
        <f>SUMIFS('0617 4度C'!$K:$K,'0617 4度C'!$A:$A,"新豐6線",'0617 4度C'!$B:$B,"平均")</f>
        <v>130.43478260869566</v>
      </c>
      <c r="E13" s="57">
        <f>SUMIFS('0617 4度C'!$K:$K,'0617 4度C'!$A:$A,"新豐2線",'0617 4度C'!$B:$B,"平均")</f>
        <v>86.538461538461547</v>
      </c>
      <c r="F13" s="58">
        <f>SUMIFS('0617 4度C'!$K:$K,'0617 4度C'!$A:$A,"新豐5線",'0617 4度C'!$B:$B,"平均")</f>
        <v>87.786259541984734</v>
      </c>
      <c r="G13" s="58">
        <f>SUMIFS('0617 4度C'!$K:$K,'0617 4度C'!$A:$A,"新豐7線",'0617 4度C'!$B:$B,"平均")</f>
        <v>115.38461538461539</v>
      </c>
      <c r="H13" s="58">
        <f>SUMIFS('0617 4度C'!$K:$K,'0617 4度C'!$A:$A,"新豐3線",'0617 4度C'!$B:$B,"平均")</f>
        <v>255.81395348837211</v>
      </c>
      <c r="I13" s="58">
        <f>SUMIFS('0617 4度C'!$K:$K,'0617 4度C'!$A:$A,"新豐1線",'0617 4度C'!$B:$B,"平均")</f>
        <v>119.65811965811965</v>
      </c>
      <c r="J13" s="59">
        <f>SUMIFS('0617 4度C'!$K:$K,'0617 4度C'!$A:$A,"新豐10線",'0617 4度C'!$B:$B,"平均")</f>
        <v>319.14893617021278</v>
      </c>
      <c r="K13" s="60">
        <f>SUMIFS('0617 4度C'!$K:$K,'0617 4度C'!$A:$A,"新豐8線",'0617 4度C'!$B:$B,"平均")</f>
        <v>137.70491803278691</v>
      </c>
      <c r="L13" s="61">
        <f>SUMIFS('0617 4度C'!$K:$K,'0617 4度C'!$A:$A,"新豐9線",'0617 4度C'!$B:$B,"平均")</f>
        <v>125.61983471074382</v>
      </c>
      <c r="M13" s="59">
        <f>SUMIFS('0617 4度C'!$K:$K,'0617 4度C'!$A:$A,"新豐4線",'0617 4度C'!$B:$B,"平均")</f>
        <v>156.52173913043478</v>
      </c>
    </row>
    <row r="14" spans="2:17" ht="39.6" customHeight="1">
      <c r="B14" s="570"/>
      <c r="C14" s="62" t="s">
        <v>1516</v>
      </c>
      <c r="D14" s="63">
        <f>SUMIFS('0617 4度C'!$N:$N,'0617 4度C'!$A:$A,"新豐6線",'0617 4度C'!$B:$B,"平均")</f>
        <v>124.8106844845975</v>
      </c>
      <c r="E14" s="64">
        <f>SUMIFS('0617 4度C'!$N:$N,'0617 4度C'!$A:$A,"新豐2線",'0617 4度C'!$B:$B,"平均")</f>
        <v>82.594595327153499</v>
      </c>
      <c r="F14" s="64">
        <f>SUMIFS('0617 4度C'!$N:$N,'0617 4度C'!$A:$A,"新豐5線",'0617 4度C'!$B:$B,"平均")</f>
        <v>84.172444053346737</v>
      </c>
      <c r="G14" s="64">
        <f>SUMIFS('0617 4度C'!$N:$N,'0617 4度C'!$A:$A,"新豐7線",'0617 4度C'!$B:$B,"平均")</f>
        <v>110.87008899812264</v>
      </c>
      <c r="H14" s="64">
        <f>SUMIFS('0617 4度C'!$N:$N,'0617 4度C'!$A:$A,"新豐3線",'0617 4度C'!$B:$B,"平均")</f>
        <v>244.91635272226361</v>
      </c>
      <c r="I14" s="64">
        <f>SUMIFS('0617 4度C'!$N:$N,'0617 4度C'!$A:$A,"新豐1線",'0617 4度C'!$B:$B,"平均")</f>
        <v>114.71731044355479</v>
      </c>
      <c r="J14" s="65">
        <f>SUMIFS('0617 4度C'!$N:$N,'0617 4度C'!$A:$A,"新豐10線",'0617 4度C'!$B:$B,"平均")</f>
        <v>309.28931370980655</v>
      </c>
      <c r="K14" s="66">
        <f>SUMIFS('0617 4度C'!$N:$N,'0617 4度C'!$A:$A,"新豐8線",'0617 4度C'!$B:$B,"平均")</f>
        <v>131.37848743441489</v>
      </c>
      <c r="L14" s="67">
        <f>SUMIFS('0617 4度C'!$N:$N,'0617 4度C'!$A:$A,"新豐9線",'0617 4度C'!$B:$B,"平均")</f>
        <v>119.90875037834108</v>
      </c>
      <c r="M14" s="65">
        <f>SUMIFS('0617 4度C'!$N:$N,'0617 4度C'!$A:$A,"新豐4線",'0617 4度C'!$B:$B,"平均")</f>
        <v>149.66735369730822</v>
      </c>
    </row>
    <row r="15" spans="2:17" ht="40.15" customHeight="1">
      <c r="B15" s="571"/>
      <c r="C15" s="68" t="s">
        <v>1517</v>
      </c>
      <c r="D15" s="69">
        <f t="shared" ref="D15:M15" si="0">D14/D13</f>
        <v>0.95688191438191417</v>
      </c>
      <c r="E15" s="70">
        <f t="shared" si="0"/>
        <v>0.95442643489155143</v>
      </c>
      <c r="F15" s="70">
        <f t="shared" si="0"/>
        <v>0.9588339279120367</v>
      </c>
      <c r="G15" s="70">
        <f t="shared" si="0"/>
        <v>0.96087410465039624</v>
      </c>
      <c r="H15" s="70">
        <f t="shared" si="0"/>
        <v>0.95740028791430321</v>
      </c>
      <c r="I15" s="70">
        <f t="shared" si="0"/>
        <v>0.95870895156399372</v>
      </c>
      <c r="J15" s="71">
        <f t="shared" si="0"/>
        <v>0.96910651629072719</v>
      </c>
      <c r="K15" s="69">
        <f t="shared" si="0"/>
        <v>0.95405806351182232</v>
      </c>
      <c r="L15" s="70">
        <f t="shared" si="0"/>
        <v>0.95453676288021505</v>
      </c>
      <c r="M15" s="71">
        <f t="shared" si="0"/>
        <v>0.95620809306613586</v>
      </c>
    </row>
    <row r="16" spans="2:17" ht="17.25" customHeight="1">
      <c r="B16" s="572" t="s">
        <v>1518</v>
      </c>
      <c r="C16" s="72" t="s">
        <v>1519</v>
      </c>
      <c r="D16" s="73">
        <f>VLOOKUP("新豐6線",'0617 4度C'!$A:$T,19,0)</f>
        <v>0.70833333333333337</v>
      </c>
      <c r="E16" s="74">
        <f>VLOOKUP("新豐2線",'0617 4度C'!$A:$T,19,0)</f>
        <v>8.3333333333333329E-2</v>
      </c>
      <c r="F16" s="74">
        <f>VLOOKUP("新豐5線",'0617 4度C'!$A:$T,19,0)</f>
        <v>8.3333333333333329E-2</v>
      </c>
      <c r="G16" s="74">
        <f>VLOOKUP("新豐7線",'0617 4度C'!$A:$T,19,0)</f>
        <v>0.20833333333333334</v>
      </c>
      <c r="H16" s="74">
        <f>VLOOKUP("新豐3線",'0617 4度C'!$A:$T,19,0)</f>
        <v>8.3333333333333329E-2</v>
      </c>
      <c r="I16" s="74">
        <f>VLOOKUP("新豐1線",'0617 4度C'!$A:$T,19,0)</f>
        <v>0.16666666666666666</v>
      </c>
      <c r="J16" s="75">
        <f>VLOOKUP("新豐10線",'0617 4度C'!$A:$T,19,0)</f>
        <v>0.20833333333333334</v>
      </c>
      <c r="K16" s="76">
        <f>VLOOKUP("新豐8線",'0617 4度C'!$A:$T,19,0)</f>
        <v>8.3333333333333329E-2</v>
      </c>
      <c r="L16" s="77">
        <f>VLOOKUP("新豐9線",'0617 4度C'!$A:$T,19,0)</f>
        <v>8.3333333333333329E-2</v>
      </c>
      <c r="M16" s="78">
        <f>VLOOKUP("新豐4線",'0617 4度C'!$A:$T,19,0)</f>
        <v>8.3333333333333329E-2</v>
      </c>
    </row>
    <row r="17" spans="2:13" ht="17.25" customHeight="1">
      <c r="B17" s="573"/>
      <c r="C17" s="72" t="s">
        <v>1520</v>
      </c>
      <c r="D17" s="76">
        <f>LOOKUP(2,1/(('0617 4度C'!$A:$A="新豐6線")*('0617 4度C'!$T:$T&lt;&gt;"")),'0617 4度C'!$T:$T)</f>
        <v>0.81736111111111109</v>
      </c>
      <c r="E17" s="74">
        <f>LOOKUP(2,1/(('0617 4度C'!$A:$A="新豐2線")*('0617 4度C'!$T:$T&lt;&gt;"")),'0617 4度C'!$T:$T)</f>
        <v>0.52499999999999991</v>
      </c>
      <c r="F17" s="74">
        <f>LOOKUP(2,1/(('0617 4度C'!$A:$A="新豐5線")*('0617 4度C'!$T:$T&lt;&gt;"")),'0617 4度C'!$T:$T)</f>
        <v>0.79444444444444451</v>
      </c>
      <c r="G17" s="74">
        <f>LOOKUP(2,1/(('0617 4度C'!$A:$A="新豐7線")*('0617 4度C'!$T:$T&lt;&gt;"")),'0617 4度C'!$T:$T)</f>
        <v>0.79791666666666672</v>
      </c>
      <c r="H17" s="74">
        <f>LOOKUP(2,1/(('0617 4度C'!$A:$A="新豐3線")*('0617 4度C'!$T:$T&lt;&gt;"")),'0617 4度C'!$T:$T)</f>
        <v>0.36458333333333331</v>
      </c>
      <c r="I17" s="74">
        <f>LOOKUP(2,1/(('0617 4度C'!$A:$A="新豐1線")*('0617 4度C'!$T:$T&lt;&gt;"")),'0617 4度C'!$T:$T)</f>
        <v>0.81597222222222221</v>
      </c>
      <c r="J17" s="75">
        <f>LOOKUP(2,1/(('0617 4度C'!$A:$A="新豐10線")*('0617 4度C'!$T:$T&lt;&gt;"")),'0617 4度C'!$T:$T)</f>
        <v>0.38472222222222213</v>
      </c>
      <c r="K17" s="73">
        <f>LOOKUP(2,1/(('0617 4度C'!$A:$A="新豐8線")*('0617 4度C'!$T:$T&lt;&gt;"")),'0617 4度C'!$T:$T)</f>
        <v>0.66736111111111107</v>
      </c>
      <c r="L17" s="74">
        <f>LOOKUP(2,1/(('0617 4度C'!$A:$A="新豐9線")*('0617 4度C'!$T:$T&lt;&gt;"")),'0617 4度C'!$T:$T)</f>
        <v>0.66249999999999987</v>
      </c>
      <c r="M17" s="75">
        <f>LOOKUP(2,1/(('0617 4度C'!$A:$A="新豐4線")*('0617 4度C'!$T:$T&lt;&gt;"")),'0617 4度C'!$T:$T)</f>
        <v>0.61458333333333326</v>
      </c>
    </row>
    <row r="18" spans="2:13" ht="17.25" customHeight="1">
      <c r="B18" s="551" t="s">
        <v>1521</v>
      </c>
      <c r="C18" s="79" t="s">
        <v>1522</v>
      </c>
      <c r="D18" s="80">
        <f>SUMIFS('0617 4度C'!$Y:$Y,'0617 4度C'!$A:$A,"新豐6線",'0617 4度C'!$B:$B,"平均")</f>
        <v>0</v>
      </c>
      <c r="E18" s="81">
        <f>SUMIFS('0617 4度C'!$Y:$Y,'0617 4度C'!$A:$A,"新豐2線",'0617 4度C'!$B:$B,"平均")</f>
        <v>0</v>
      </c>
      <c r="F18" s="81">
        <f>SUMIFS('0617 4度C'!$Y:$Y,'0617 4度C'!$A:$A,"新豐5線",'0617 4度C'!$B:$B,"平均")</f>
        <v>0</v>
      </c>
      <c r="G18" s="81">
        <f>SUMIFS('0617 4度C'!$Y:$Y,'0617 4度C'!$A:$A,"新豐7線",'0617 4度C'!$B:$B,"平均")</f>
        <v>0</v>
      </c>
      <c r="H18" s="81">
        <f>SUMIFS('0617 4度C'!$Y:$Y,'0617 4度C'!$A:$A,"新豐3線",'0617 4度C'!$B:$B,"平均")</f>
        <v>0</v>
      </c>
      <c r="I18" s="81">
        <f>SUMIFS('0617 4度C'!$Y:$Y,'0617 4度C'!$A:$A,"新豐1線",'0617 4度C'!$B:$B,"平均")</f>
        <v>0</v>
      </c>
      <c r="J18" s="82">
        <f>SUMIFS('0617 4度C'!$Y:$Y,'0617 4度C'!$A:$A,"新豐10線",'0617 4度C'!$B:$B,"平均")</f>
        <v>0</v>
      </c>
      <c r="K18" s="83">
        <f>SUMIFS('0617 4度C'!$Y:$Y,'0617 4度C'!$A:$A,"新豐8線",'0617 4度C'!$B:$B,"平均")</f>
        <v>0</v>
      </c>
      <c r="L18" s="81">
        <f>SUMIFS('0617 4度C'!$Y:$Y,'0617 4度C'!$A:$A,"新豐9線",'0617 4度C'!$B:$B,"平均")</f>
        <v>0</v>
      </c>
      <c r="M18" s="82">
        <f>SUMIFS('0617 4度C'!$Y:$Y,'0617 4度C'!$A:$A,"新豐4線",'0617 4度C'!$B:$B,"平均")</f>
        <v>0</v>
      </c>
    </row>
    <row r="19" spans="2:13" ht="17.25" customHeight="1">
      <c r="B19" s="552"/>
      <c r="C19" s="79" t="s">
        <v>1523</v>
      </c>
      <c r="D19" s="80">
        <f>SUMIFS('0617 4度C'!$Z:$Z,'0617 4度C'!$A:$A,"新豐6線",'0617 4度C'!$B:$B,"平均")</f>
        <v>0</v>
      </c>
      <c r="E19" s="81">
        <f>SUMIFS('0617 4度C'!$Z:$Z,'0617 4度C'!$A:$A,"新豐2線",'0617 4度C'!$B:$B,"平均")</f>
        <v>0</v>
      </c>
      <c r="F19" s="81">
        <f>SUMIFS('0617 4度C'!$Z:$Z,'0617 4度C'!$A:$A,"新豐5線",'0617 4度C'!$B:$B,"平均")</f>
        <v>0</v>
      </c>
      <c r="G19" s="81">
        <f>SUMIFS('0617 4度C'!$Z:$Z,'0617 4度C'!$A:$A,"新豐7線",'0617 4度C'!$B:$B,"平均")</f>
        <v>0</v>
      </c>
      <c r="H19" s="81">
        <f>SUMIFS('0617 4度C'!$Z:$Z,'0617 4度C'!$A:$A,"新豐3線",'0617 4度C'!$B:$B,"平均")</f>
        <v>0</v>
      </c>
      <c r="I19" s="81">
        <f>SUMIFS('0617 4度C'!$Z:$Z,'0617 4度C'!$A:$A,"新豐1線",'0617 4度C'!$B:$B,"平均")</f>
        <v>0</v>
      </c>
      <c r="J19" s="82">
        <f>SUMIFS('0617 4度C'!$Z:$Z,'0617 4度C'!$A:$A,"新豐10線",'0617 4度C'!$B:$B,"平均")</f>
        <v>0</v>
      </c>
      <c r="K19" s="83">
        <f>SUMIFS('0617 4度C'!$Z:$Z,'0617 4度C'!$A:$A,"新豐8線",'0617 4度C'!$B:$B,"平均")</f>
        <v>0</v>
      </c>
      <c r="L19" s="81">
        <f>SUMIFS('0617 4度C'!$Z:$Z,'0617 4度C'!$A:$A,"新豐9線",'0617 4度C'!$B:$B,"平均")</f>
        <v>0</v>
      </c>
      <c r="M19" s="82">
        <f>SUMIFS('0617 4度C'!$Z:$Z,'0617 4度C'!$A:$A,"新豐4線",'0617 4度C'!$B:$B,"平均")</f>
        <v>0</v>
      </c>
    </row>
    <row r="20" spans="2:13" ht="17.25" customHeight="1">
      <c r="B20" s="551" t="s">
        <v>1524</v>
      </c>
      <c r="C20" s="79" t="s">
        <v>1522</v>
      </c>
      <c r="D20" s="80">
        <f>SUMIFS('0617 4度C'!$AC:$AC,'0617 4度C'!$A:$A,"新豐6線",'0617 4度C'!$B:$B,"平均")</f>
        <v>3</v>
      </c>
      <c r="E20" s="81">
        <f>SUMIFS('0617 4度C'!$AC:$AC,'0617 4度C'!$A:$A,"新豐2線",'0617 4度C'!$B:$B,"平均")</f>
        <v>3</v>
      </c>
      <c r="F20" s="81">
        <f>SUMIFS('0617 4度C'!$AC:$AC,'0617 4度C'!$A:$A,"新豐5線",'0617 4度C'!$B:$B,"平均")</f>
        <v>7</v>
      </c>
      <c r="G20" s="81">
        <f>SUMIFS('0617 4度C'!$AC:$AC,'0617 4度C'!$A:$A,"新豐7線",'0617 4度C'!$B:$B,"平均")</f>
        <v>7</v>
      </c>
      <c r="H20" s="81">
        <f>SUMIFS('0617 4度C'!$AC:$AC,'0617 4度C'!$A:$A,"新豐3線",'0617 4度C'!$B:$B,"平均")</f>
        <v>4</v>
      </c>
      <c r="I20" s="81">
        <f>SUMIFS('0617 4度C'!$AC:$AC,'0617 4度C'!$A:$A,"新豐1線",'0617 4度C'!$B:$B,"平均")</f>
        <v>7</v>
      </c>
      <c r="J20" s="82">
        <f>SUMIFS('0617 4度C'!$AC:$AC,'0617 4度C'!$A:$A,"新豐10線",'0617 4度C'!$B:$B,"平均")</f>
        <v>5</v>
      </c>
      <c r="K20" s="83">
        <f>SUMIFS('0617 4度C'!$AC:$AC,'0617 4度C'!$A:$A,"新豐8線",'0617 4度C'!$B:$B,"平均")</f>
        <v>7</v>
      </c>
      <c r="L20" s="81">
        <f>SUMIFS('0617 4度C'!$AC:$AC,'0617 4度C'!$A:$A,"新豐9線",'0617 4度C'!$B:$B,"平均")</f>
        <v>7</v>
      </c>
      <c r="M20" s="82">
        <f>SUMIFS('0617 4度C'!$AC:$AC,'0617 4度C'!$A:$A,"新豐4線",'0617 4度C'!$B:$B,"平均")</f>
        <v>6</v>
      </c>
    </row>
    <row r="21" spans="2:13" ht="17.25" customHeight="1">
      <c r="B21" s="552"/>
      <c r="C21" s="79" t="s">
        <v>1525</v>
      </c>
      <c r="D21" s="80">
        <f>SUMIFS('0617 4度C'!$AD:$AD,'0617 4度C'!$A:$A,"新豐6線",'0617 4度C'!$B:$B,"平均")</f>
        <v>0</v>
      </c>
      <c r="E21" s="81">
        <f>SUMIFS('0617 4度C'!$AD:$AD,'0617 4度C'!$A:$A,"新豐2線",'0617 4度C'!$B:$B,"平均")</f>
        <v>0</v>
      </c>
      <c r="F21" s="81">
        <f>SUMIFS('0617 4度C'!$AD:$AD,'0617 4度C'!$A:$A,"新豐5線",'0617 4度C'!$B:$B,"平均")</f>
        <v>0</v>
      </c>
      <c r="G21" s="81">
        <f>SUMIFS('0617 4度C'!$AD:$AD,'0617 4度C'!$A:$A,"新豐7線",'0617 4度C'!$B:$B,"平均")</f>
        <v>0</v>
      </c>
      <c r="H21" s="81">
        <f>SUMIFS('0617 4度C'!$AD:$AD,'0617 4度C'!$A:$A,"新豐3線",'0617 4度C'!$B:$B,"平均")</f>
        <v>0</v>
      </c>
      <c r="I21" s="81">
        <f>SUMIFS('0617 4度C'!$AD:$AD,'0617 4度C'!$A:$A,"新豐1線",'0617 4度C'!$B:$B,"平均")</f>
        <v>0</v>
      </c>
      <c r="J21" s="82">
        <f>SUMIFS('0617 4度C'!$AD:$AD,'0617 4度C'!$A:$A,"新豐10線",'0617 4度C'!$B:$B,"平均")</f>
        <v>0</v>
      </c>
      <c r="K21" s="83">
        <f>SUMIFS('0617 4度C'!$AD:$AD,'0617 4度C'!$A:$A,"新豐8線",'0617 4度C'!$B:$B,"平均")</f>
        <v>0</v>
      </c>
      <c r="L21" s="81">
        <f>SUMIFS('0617 4度C'!$AD:$AD,'0617 4度C'!$A:$A,"新豐9線",'0617 4度C'!$B:$B,"平均")</f>
        <v>0</v>
      </c>
      <c r="M21" s="82">
        <f>SUMIFS('0617 4度C'!$AD:$AD,'0617 4度C'!$A:$A,"新豐4線",'0617 4度C'!$B:$B,"平均")</f>
        <v>0</v>
      </c>
    </row>
    <row r="22" spans="2:13" ht="17.25" customHeight="1">
      <c r="B22" s="553" t="s">
        <v>1526</v>
      </c>
      <c r="C22" s="554"/>
      <c r="D22" s="84">
        <f>SUMIFS('0617 4度C'!$I:$I,'0617 4度C'!$A:$A,"新豐6線",'0617 4度C'!$B:$B,"平均")</f>
        <v>15.333333333333334</v>
      </c>
      <c r="E22" s="85">
        <f>SUMIFS('0617 4度C'!$I:$I,'0617 4度C'!$A:$A,"新豐2線",'0617 4度C'!$B:$B,"平均")</f>
        <v>17.333333333333332</v>
      </c>
      <c r="F22" s="85">
        <f>SUMIFS('0617 4度C'!$I:$I,'0617 4度C'!$A:$A,"新豐5線",'0617 4度C'!$B:$B,"平均")</f>
        <v>18.714285714285715</v>
      </c>
      <c r="G22" s="85">
        <f>SUMIFS('0617 4度C'!$I:$I,'0617 4度C'!$A:$A,"新豐7線",'0617 4度C'!$B:$B,"平均")</f>
        <v>16.714285714285715</v>
      </c>
      <c r="H22" s="85">
        <f>SUMIFS('0617 4度C'!$I:$I,'0617 4度C'!$A:$A,"新豐3線",'0617 4度C'!$B:$B,"平均")</f>
        <v>10.75</v>
      </c>
      <c r="I22" s="85">
        <f>SUMIFS('0617 4度C'!$I:$I,'0617 4度C'!$A:$A,"新豐1線",'0617 4度C'!$B:$B,"平均")</f>
        <v>16.714285714285715</v>
      </c>
      <c r="J22" s="86">
        <f>SUMIFS('0617 4度C'!$I:$I,'0617 4度C'!$A:$A,"新豐10線",'0617 4度C'!$B:$B,"平均")</f>
        <v>9.4</v>
      </c>
      <c r="K22" s="84">
        <f>SUMIFS('0617 4度C'!$I:$I,'0617 4度C'!$A:$A,"新豐8線",'0617 4度C'!$B:$B,"平均")</f>
        <v>17.428571428571427</v>
      </c>
      <c r="L22" s="85">
        <f>SUMIFS('0617 4度C'!$I:$I,'0617 4度C'!$A:$A,"新豐9線",'0617 4度C'!$B:$B,"平均")</f>
        <v>17.285714285714285</v>
      </c>
      <c r="M22" s="86">
        <f>SUMIFS('0617 4度C'!$I:$I,'0617 4度C'!$A:$A,"新豐4線",'0617 4度C'!$B:$B,"平均")</f>
        <v>15.333333333333334</v>
      </c>
    </row>
    <row r="23" spans="2:13" ht="17.25" customHeight="1">
      <c r="B23" s="553" t="s">
        <v>1527</v>
      </c>
      <c r="C23" s="554"/>
      <c r="D23" s="87" t="s">
        <v>71</v>
      </c>
      <c r="E23" s="88" t="s">
        <v>72</v>
      </c>
      <c r="F23" s="88" t="s">
        <v>1528</v>
      </c>
      <c r="G23" s="88" t="s">
        <v>1528</v>
      </c>
      <c r="H23" s="88" t="s">
        <v>73</v>
      </c>
      <c r="I23" s="88" t="s">
        <v>71</v>
      </c>
      <c r="J23" s="89" t="s">
        <v>73</v>
      </c>
      <c r="K23" s="87" t="s">
        <v>1529</v>
      </c>
      <c r="L23" s="88" t="s">
        <v>1529</v>
      </c>
      <c r="M23" s="89" t="s">
        <v>1529</v>
      </c>
    </row>
    <row r="24" spans="2:13" ht="17.25" customHeight="1">
      <c r="B24" s="553" t="s">
        <v>1530</v>
      </c>
      <c r="C24" s="554"/>
      <c r="D24" s="87"/>
      <c r="E24" s="88"/>
      <c r="F24" s="88" t="s">
        <v>1531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1532</v>
      </c>
      <c r="C25" s="556"/>
      <c r="D25" s="90"/>
      <c r="E25" s="91" t="s">
        <v>1533</v>
      </c>
      <c r="F25" s="549" t="s">
        <v>1534</v>
      </c>
      <c r="G25" s="550"/>
      <c r="H25" s="91" t="s">
        <v>1535</v>
      </c>
      <c r="I25" s="91" t="s">
        <v>1536</v>
      </c>
      <c r="J25" s="92" t="s">
        <v>1535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1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1537</v>
      </c>
      <c r="B1" s="1"/>
      <c r="C1" s="2" t="s">
        <v>133</v>
      </c>
      <c r="D1" s="3">
        <f>SUM(F5:F70)</f>
        <v>167834</v>
      </c>
      <c r="E1" s="341" t="s">
        <v>1538</v>
      </c>
      <c r="F1" s="1">
        <f>SUM(G5:G70)</f>
        <v>5732346.549999998</v>
      </c>
      <c r="G1" s="1" t="s">
        <v>135</v>
      </c>
      <c r="H1" s="4">
        <f>L8+L12+L49+L57+L20+L63+L36+L44+L28+L70</f>
        <v>155.0071428571429</v>
      </c>
      <c r="I1" s="663" t="s">
        <v>136</v>
      </c>
      <c r="J1" s="663"/>
      <c r="K1" s="663"/>
      <c r="L1" s="663" t="s">
        <v>137</v>
      </c>
      <c r="M1" s="663"/>
      <c r="N1" s="663"/>
      <c r="O1" s="663" t="s">
        <v>1539</v>
      </c>
      <c r="P1" s="663"/>
      <c r="Q1" s="663"/>
      <c r="R1" s="663"/>
      <c r="S1" s="663" t="s">
        <v>139</v>
      </c>
      <c r="T1" s="663"/>
      <c r="U1" s="663"/>
      <c r="V1" s="663"/>
      <c r="W1" s="663"/>
      <c r="X1" s="663"/>
      <c r="Y1" s="5" t="s">
        <v>1540</v>
      </c>
      <c r="Z1" s="6" t="s">
        <v>1541</v>
      </c>
      <c r="AA1" s="664" t="s">
        <v>1542</v>
      </c>
      <c r="AB1" s="664"/>
      <c r="AC1" s="94" t="s">
        <v>1540</v>
      </c>
      <c r="AD1" s="6" t="s">
        <v>143</v>
      </c>
      <c r="AE1" s="663" t="s">
        <v>144</v>
      </c>
      <c r="AF1" s="665"/>
      <c r="AG1" s="665"/>
    </row>
    <row r="2" spans="1:33" ht="26.25" customHeight="1">
      <c r="A2" s="27">
        <v>46190</v>
      </c>
      <c r="B2" s="28" t="s">
        <v>337</v>
      </c>
      <c r="C2" s="2" t="s">
        <v>1543</v>
      </c>
      <c r="D2" s="8">
        <f>AVERAGE(N8,N12,N49,N57,N20,N63,N28,N36,N44,N70)</f>
        <v>147.23253812489094</v>
      </c>
      <c r="E2" s="9" t="s">
        <v>0</v>
      </c>
      <c r="F2" s="10">
        <f>F1/D1</f>
        <v>34.154858669876177</v>
      </c>
      <c r="G2" s="1" t="s">
        <v>1544</v>
      </c>
      <c r="H2" s="351">
        <f>COUNT(H5:H70)</f>
        <v>5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SUM(Y8+Y12+Y20+Y28+Y36+Y44+Y49+Y57+Y63+Y70)</f>
        <v>0</v>
      </c>
      <c r="Z2" s="11">
        <f>SUM(Z8+Z12+Z20+Z28+Z36+Z44+Z49+Z57+Z63+Z70)</f>
        <v>0</v>
      </c>
      <c r="AA2" s="664"/>
      <c r="AB2" s="664"/>
      <c r="AC2" s="95">
        <v>56</v>
      </c>
      <c r="AD2" s="11">
        <f>SUM(AD8+AD12+AD20+AD28+AD36+AD44+AD49+AD57+AD63+AD70)</f>
        <v>0</v>
      </c>
      <c r="AE2" s="665"/>
      <c r="AF2" s="665"/>
      <c r="AG2" s="665"/>
    </row>
    <row r="3" spans="1:33" ht="40.5" customHeight="1">
      <c r="A3" s="617" t="s">
        <v>1545</v>
      </c>
      <c r="B3" s="617" t="s">
        <v>148</v>
      </c>
      <c r="C3" s="617" t="s">
        <v>1546</v>
      </c>
      <c r="D3" s="617"/>
      <c r="E3" s="661" t="s">
        <v>1547</v>
      </c>
      <c r="F3" s="617" t="s">
        <v>1548</v>
      </c>
      <c r="G3" s="661" t="s">
        <v>1549</v>
      </c>
      <c r="H3" s="654" t="s">
        <v>1550</v>
      </c>
      <c r="I3" s="652" t="s">
        <v>1551</v>
      </c>
      <c r="J3" s="649" t="s">
        <v>1552</v>
      </c>
      <c r="K3" s="659" t="s">
        <v>1543</v>
      </c>
      <c r="L3" s="652" t="s">
        <v>1551</v>
      </c>
      <c r="M3" s="649" t="s">
        <v>1552</v>
      </c>
      <c r="N3" s="659" t="s">
        <v>1543</v>
      </c>
      <c r="O3" s="652" t="s">
        <v>1551</v>
      </c>
      <c r="P3" s="659" t="s">
        <v>1553</v>
      </c>
      <c r="Q3" s="650" t="s">
        <v>1554</v>
      </c>
      <c r="R3" s="630" t="s">
        <v>1555</v>
      </c>
      <c r="S3" s="660" t="s">
        <v>1</v>
      </c>
      <c r="T3" s="660"/>
      <c r="U3" s="654" t="s">
        <v>2</v>
      </c>
      <c r="V3" s="654" t="s">
        <v>1556</v>
      </c>
      <c r="W3" s="617" t="s">
        <v>1557</v>
      </c>
      <c r="X3" s="617"/>
      <c r="Y3" s="655" t="s">
        <v>1558</v>
      </c>
      <c r="Z3" s="614"/>
      <c r="AA3" s="656" t="s">
        <v>1559</v>
      </c>
      <c r="AB3" s="657"/>
      <c r="AC3" s="655" t="s">
        <v>1560</v>
      </c>
      <c r="AD3" s="614"/>
      <c r="AE3" s="649" t="s">
        <v>1552</v>
      </c>
      <c r="AF3" s="650" t="s">
        <v>1554</v>
      </c>
      <c r="AG3" s="630" t="s">
        <v>1555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350" t="s">
        <v>3</v>
      </c>
      <c r="T4" s="350" t="s">
        <v>4</v>
      </c>
      <c r="U4" s="654"/>
      <c r="V4" s="654"/>
      <c r="W4" s="341" t="s">
        <v>1561</v>
      </c>
      <c r="X4" s="341" t="s">
        <v>1562</v>
      </c>
      <c r="Y4" s="340" t="s">
        <v>1563</v>
      </c>
      <c r="Z4" s="340" t="s">
        <v>1564</v>
      </c>
      <c r="AA4" s="658"/>
      <c r="AB4" s="657"/>
      <c r="AC4" s="340" t="s">
        <v>1565</v>
      </c>
      <c r="AD4" s="340" t="s">
        <v>1566</v>
      </c>
      <c r="AE4" s="649"/>
      <c r="AF4" s="650"/>
      <c r="AG4" s="630"/>
    </row>
    <row r="5" spans="1:33">
      <c r="A5" s="651" t="s">
        <v>1567</v>
      </c>
      <c r="B5" s="29" t="s">
        <v>15</v>
      </c>
      <c r="C5" s="653" t="s">
        <v>17</v>
      </c>
      <c r="D5" s="653"/>
      <c r="E5" s="29">
        <v>50.67</v>
      </c>
      <c r="F5" s="350">
        <v>1053</v>
      </c>
      <c r="G5" s="341">
        <f t="shared" ref="G5:G7" si="0">E5*F5</f>
        <v>53355.51</v>
      </c>
      <c r="H5" s="33" t="s">
        <v>57</v>
      </c>
      <c r="I5" s="348">
        <v>15</v>
      </c>
      <c r="J5" s="31">
        <v>2000</v>
      </c>
      <c r="K5" s="12">
        <f t="shared" ref="K5:K68" si="1">J5/I5</f>
        <v>133.33333333333334</v>
      </c>
      <c r="L5" s="348">
        <v>15</v>
      </c>
      <c r="M5" s="13">
        <f t="shared" ref="M5:M7" si="2">F5/V5*60</f>
        <v>1914.545454545452</v>
      </c>
      <c r="N5" s="12">
        <f t="shared" ref="N5:N68" si="3">M5/L5</f>
        <v>127.63636363636347</v>
      </c>
      <c r="O5" s="14">
        <f t="shared" ref="O5:O68" si="4">L5-I5</f>
        <v>0</v>
      </c>
      <c r="P5" s="15">
        <f t="shared" ref="P5:P68" si="5">N5-K5</f>
        <v>-5.6969696969698731</v>
      </c>
      <c r="Q5" s="346">
        <f t="shared" ref="Q5:Q68" si="6">N5/K5</f>
        <v>0.95727272727272594</v>
      </c>
      <c r="R5" s="615">
        <f>Q8</f>
        <v>0.95688191438191417</v>
      </c>
      <c r="S5" s="34">
        <v>0.70833333333333337</v>
      </c>
      <c r="T5" s="34">
        <v>0.73125000000000007</v>
      </c>
      <c r="U5" s="341"/>
      <c r="V5" s="349">
        <f t="shared" ref="V5:V7" si="7">(T5-S5)*24*60</f>
        <v>33.000000000000043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6" si="8">M5-J5</f>
        <v>-85.454545454547997</v>
      </c>
      <c r="AF5" s="346">
        <f t="shared" ref="AF5:AF68" si="9">M5/J5</f>
        <v>0.95727272727272605</v>
      </c>
      <c r="AG5" s="615">
        <f>AF8</f>
        <v>0.95688191438191428</v>
      </c>
    </row>
    <row r="6" spans="1:33">
      <c r="A6" s="652" t="s">
        <v>5</v>
      </c>
      <c r="B6" s="29" t="s">
        <v>15</v>
      </c>
      <c r="C6" s="653" t="s">
        <v>26</v>
      </c>
      <c r="D6" s="653"/>
      <c r="E6" s="29">
        <v>50.92</v>
      </c>
      <c r="F6" s="350">
        <v>1718</v>
      </c>
      <c r="G6" s="341">
        <f t="shared" si="0"/>
        <v>87480.56</v>
      </c>
      <c r="H6" s="33" t="s">
        <v>57</v>
      </c>
      <c r="I6" s="348">
        <v>15</v>
      </c>
      <c r="J6" s="31">
        <v>2000</v>
      </c>
      <c r="K6" s="12">
        <f t="shared" si="1"/>
        <v>133.33333333333334</v>
      </c>
      <c r="L6" s="348">
        <v>15</v>
      </c>
      <c r="M6" s="13">
        <f t="shared" si="2"/>
        <v>1908.8888888888898</v>
      </c>
      <c r="N6" s="12">
        <f t="shared" si="3"/>
        <v>127.25925925925932</v>
      </c>
      <c r="O6" s="14">
        <f t="shared" si="4"/>
        <v>0</v>
      </c>
      <c r="P6" s="15">
        <f t="shared" si="5"/>
        <v>-6.0740740740740193</v>
      </c>
      <c r="Q6" s="346">
        <f t="shared" si="6"/>
        <v>0.95444444444444487</v>
      </c>
      <c r="R6" s="615"/>
      <c r="S6" s="34">
        <v>0.73611111111111116</v>
      </c>
      <c r="T6" s="34">
        <v>0.77361111111111114</v>
      </c>
      <c r="U6" s="341">
        <f t="shared" ref="U6:U7" si="10">IF(S6=TIME(17,0,0),"",(S6-T5)*24*60)</f>
        <v>6.9999999999999751</v>
      </c>
      <c r="V6" s="349">
        <f t="shared" si="7"/>
        <v>53.999999999999972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-91.111111111110176</v>
      </c>
      <c r="AF6" s="346">
        <f t="shared" si="9"/>
        <v>0.95444444444444487</v>
      </c>
      <c r="AG6" s="615"/>
    </row>
    <row r="7" spans="1:33">
      <c r="A7" s="652" t="s">
        <v>1568</v>
      </c>
      <c r="B7" s="29" t="s">
        <v>15</v>
      </c>
      <c r="C7" s="644" t="s">
        <v>31</v>
      </c>
      <c r="D7" s="645"/>
      <c r="E7" s="29">
        <v>50.98</v>
      </c>
      <c r="F7" s="350">
        <v>1790</v>
      </c>
      <c r="G7" s="341">
        <f t="shared" si="0"/>
        <v>91254.2</v>
      </c>
      <c r="H7" s="33" t="s">
        <v>57</v>
      </c>
      <c r="I7" s="348">
        <v>16</v>
      </c>
      <c r="J7" s="31">
        <v>2000</v>
      </c>
      <c r="K7" s="12">
        <f t="shared" si="1"/>
        <v>125</v>
      </c>
      <c r="L7" s="348">
        <v>16</v>
      </c>
      <c r="M7" s="13">
        <f t="shared" si="2"/>
        <v>1917.8571428571445</v>
      </c>
      <c r="N7" s="12">
        <f t="shared" si="3"/>
        <v>119.86607142857153</v>
      </c>
      <c r="O7" s="14">
        <f t="shared" si="4"/>
        <v>0</v>
      </c>
      <c r="P7" s="15">
        <f t="shared" si="5"/>
        <v>-5.1339285714284699</v>
      </c>
      <c r="Q7" s="346">
        <f t="shared" si="6"/>
        <v>0.95892857142857224</v>
      </c>
      <c r="R7" s="615"/>
      <c r="S7" s="34">
        <v>0.77847222222222223</v>
      </c>
      <c r="T7" s="34">
        <v>0.81736111111111109</v>
      </c>
      <c r="U7" s="341">
        <f t="shared" si="10"/>
        <v>6.9999999999999751</v>
      </c>
      <c r="V7" s="349">
        <f t="shared" si="7"/>
        <v>55.999999999999957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-82.142857142855519</v>
      </c>
      <c r="AF7" s="346">
        <f t="shared" si="9"/>
        <v>0.95892857142857224</v>
      </c>
      <c r="AG7" s="615"/>
    </row>
    <row r="8" spans="1:33">
      <c r="A8" s="652" t="s">
        <v>5</v>
      </c>
      <c r="B8" s="29" t="s">
        <v>6</v>
      </c>
      <c r="C8" s="618"/>
      <c r="D8" s="618"/>
      <c r="E8" s="347"/>
      <c r="F8" s="30"/>
      <c r="G8" s="12"/>
      <c r="H8" s="350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1913.7638287638285</v>
      </c>
      <c r="N8" s="12">
        <f t="shared" si="3"/>
        <v>124.8106844845975</v>
      </c>
      <c r="O8" s="14">
        <f t="shared" si="4"/>
        <v>0</v>
      </c>
      <c r="P8" s="15">
        <f t="shared" si="5"/>
        <v>-5.624098124098154</v>
      </c>
      <c r="Q8" s="346">
        <f t="shared" si="6"/>
        <v>0.95688191438191417</v>
      </c>
      <c r="R8" s="615"/>
      <c r="S8" s="34"/>
      <c r="T8" s="34"/>
      <c r="U8" s="341"/>
      <c r="V8" s="349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-86.236171236171458</v>
      </c>
      <c r="AF8" s="346">
        <f t="shared" si="9"/>
        <v>0.95688191438191428</v>
      </c>
      <c r="AG8" s="615"/>
    </row>
    <row r="9" spans="1:33" ht="15.75" customHeight="1">
      <c r="A9" s="648" t="s">
        <v>1569</v>
      </c>
      <c r="B9" s="29" t="s">
        <v>19</v>
      </c>
      <c r="C9" s="644" t="s">
        <v>20</v>
      </c>
      <c r="D9" s="645"/>
      <c r="E9" s="29">
        <v>39.619999999999997</v>
      </c>
      <c r="F9" s="350">
        <v>4282</v>
      </c>
      <c r="G9" s="341">
        <f t="shared" ref="G9:G11" si="11">E9*F9</f>
        <v>169652.84</v>
      </c>
      <c r="H9" s="33" t="s">
        <v>57</v>
      </c>
      <c r="I9" s="348">
        <v>19</v>
      </c>
      <c r="J9" s="31">
        <v>1500</v>
      </c>
      <c r="K9" s="12">
        <f t="shared" si="1"/>
        <v>78.94736842105263</v>
      </c>
      <c r="L9" s="348">
        <v>19</v>
      </c>
      <c r="M9" s="13">
        <f t="shared" ref="M9:M11" si="12">F9/V9*60</f>
        <v>1427.3333333333335</v>
      </c>
      <c r="N9" s="12">
        <f t="shared" si="3"/>
        <v>75.122807017543863</v>
      </c>
      <c r="O9" s="14">
        <f t="shared" si="4"/>
        <v>0</v>
      </c>
      <c r="P9" s="15">
        <f t="shared" si="5"/>
        <v>-3.8245614035087669</v>
      </c>
      <c r="Q9" s="346">
        <f t="shared" si="6"/>
        <v>0.9515555555555556</v>
      </c>
      <c r="R9" s="615">
        <f>Q12</f>
        <v>0.95442643489155143</v>
      </c>
      <c r="S9" s="34">
        <v>8.3333333333333329E-2</v>
      </c>
      <c r="T9" s="34">
        <v>0.20833333333333331</v>
      </c>
      <c r="U9" s="341"/>
      <c r="V9" s="349">
        <f t="shared" ref="V9:V11" si="13">(T9-S9)*24*60</f>
        <v>179.99999999999997</v>
      </c>
      <c r="W9" s="16">
        <f>T9</f>
        <v>0.20833333333333331</v>
      </c>
      <c r="X9" s="16">
        <f>S10</f>
        <v>0.22777777777777775</v>
      </c>
      <c r="Y9" s="16"/>
      <c r="Z9" s="16"/>
      <c r="AA9" s="617"/>
      <c r="AB9" s="617"/>
      <c r="AC9" s="35">
        <v>3</v>
      </c>
      <c r="AD9" s="18"/>
      <c r="AE9" s="14">
        <f t="shared" si="8"/>
        <v>-72.666666666666515</v>
      </c>
      <c r="AF9" s="346">
        <f t="shared" si="9"/>
        <v>0.95155555555555571</v>
      </c>
      <c r="AG9" s="615">
        <f>AF12</f>
        <v>0.95442643489155143</v>
      </c>
    </row>
    <row r="10" spans="1:33" ht="15.75" customHeight="1">
      <c r="A10" s="648" t="s">
        <v>7</v>
      </c>
      <c r="B10" s="29" t="s">
        <v>19</v>
      </c>
      <c r="C10" s="644" t="s">
        <v>83</v>
      </c>
      <c r="D10" s="645"/>
      <c r="E10" s="29">
        <v>39.46</v>
      </c>
      <c r="F10" s="350">
        <v>3954</v>
      </c>
      <c r="G10" s="341">
        <f t="shared" si="11"/>
        <v>156024.84</v>
      </c>
      <c r="H10" s="33" t="s">
        <v>57</v>
      </c>
      <c r="I10" s="348">
        <v>16</v>
      </c>
      <c r="J10" s="31">
        <v>1500</v>
      </c>
      <c r="K10" s="12">
        <f t="shared" si="1"/>
        <v>93.75</v>
      </c>
      <c r="L10" s="348">
        <v>16</v>
      </c>
      <c r="M10" s="13">
        <f t="shared" si="12"/>
        <v>1437.818181818182</v>
      </c>
      <c r="N10" s="12">
        <f t="shared" si="3"/>
        <v>89.863636363636374</v>
      </c>
      <c r="O10" s="14">
        <f t="shared" si="4"/>
        <v>0</v>
      </c>
      <c r="P10" s="15">
        <f t="shared" si="5"/>
        <v>-3.886363636363626</v>
      </c>
      <c r="Q10" s="346">
        <f t="shared" si="6"/>
        <v>0.9585454545454547</v>
      </c>
      <c r="R10" s="615"/>
      <c r="S10" s="34">
        <v>0.22777777777777775</v>
      </c>
      <c r="T10" s="34">
        <v>0.34236111111111106</v>
      </c>
      <c r="U10" s="341">
        <f t="shared" ref="U10:U11" si="14">IF(S10=TIME(17,0,0),"",(S10-T9)*24*60)</f>
        <v>27.999999999999979</v>
      </c>
      <c r="V10" s="349">
        <f t="shared" si="13"/>
        <v>164.99999999999997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-62.181818181818016</v>
      </c>
      <c r="AF10" s="346">
        <f t="shared" si="9"/>
        <v>0.9585454545454547</v>
      </c>
      <c r="AG10" s="615"/>
    </row>
    <row r="11" spans="1:33" ht="15.75" customHeight="1">
      <c r="A11" s="648" t="s">
        <v>7</v>
      </c>
      <c r="B11" s="29" t="s">
        <v>19</v>
      </c>
      <c r="C11" s="644" t="s">
        <v>21</v>
      </c>
      <c r="D11" s="645"/>
      <c r="E11" s="29">
        <v>39.799999999999997</v>
      </c>
      <c r="F11" s="350">
        <v>6148</v>
      </c>
      <c r="G11" s="341">
        <f t="shared" si="11"/>
        <v>244690.4</v>
      </c>
      <c r="H11" s="33" t="s">
        <v>57</v>
      </c>
      <c r="I11" s="348">
        <v>17</v>
      </c>
      <c r="J11" s="31">
        <v>1500</v>
      </c>
      <c r="K11" s="12">
        <f t="shared" si="1"/>
        <v>88.235294117647058</v>
      </c>
      <c r="L11" s="348">
        <v>17</v>
      </c>
      <c r="M11" s="13">
        <f t="shared" si="12"/>
        <v>1429.7674418604656</v>
      </c>
      <c r="N11" s="12">
        <f t="shared" si="3"/>
        <v>84.103967168262685</v>
      </c>
      <c r="O11" s="14">
        <f t="shared" si="4"/>
        <v>0</v>
      </c>
      <c r="P11" s="15">
        <f t="shared" si="5"/>
        <v>-4.1313269493843734</v>
      </c>
      <c r="Q11" s="346">
        <f t="shared" si="6"/>
        <v>0.95317829457364378</v>
      </c>
      <c r="R11" s="615"/>
      <c r="S11" s="34">
        <v>0.34583333333333327</v>
      </c>
      <c r="T11" s="34">
        <v>0.52499999999999991</v>
      </c>
      <c r="U11" s="341">
        <f t="shared" si="14"/>
        <v>4.9999999999999822</v>
      </c>
      <c r="V11" s="349">
        <f t="shared" si="13"/>
        <v>257.99999999999994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-70.232558139534376</v>
      </c>
      <c r="AF11" s="346">
        <f t="shared" si="9"/>
        <v>0.95317829457364378</v>
      </c>
      <c r="AG11" s="615"/>
    </row>
    <row r="12" spans="1:33" ht="16.5" customHeight="1">
      <c r="A12" s="648" t="s">
        <v>1569</v>
      </c>
      <c r="B12" s="29" t="s">
        <v>6</v>
      </c>
      <c r="C12" s="618"/>
      <c r="D12" s="618"/>
      <c r="E12" s="347"/>
      <c r="F12" s="31"/>
      <c r="G12" s="13"/>
      <c r="H12" s="350"/>
      <c r="I12" s="23">
        <v>17.333333333333332</v>
      </c>
      <c r="J12" s="31">
        <v>1500</v>
      </c>
      <c r="K12" s="12">
        <f t="shared" si="1"/>
        <v>86.538461538461547</v>
      </c>
      <c r="L12" s="23">
        <v>17.333333333333332</v>
      </c>
      <c r="M12" s="13">
        <f>AVERAGE(M9:M11)</f>
        <v>1431.6396523373271</v>
      </c>
      <c r="N12" s="12">
        <f t="shared" si="3"/>
        <v>82.594595327153499</v>
      </c>
      <c r="O12" s="14">
        <f t="shared" si="4"/>
        <v>0</v>
      </c>
      <c r="P12" s="15">
        <f t="shared" si="5"/>
        <v>-3.9438662113080483</v>
      </c>
      <c r="Q12" s="346">
        <f t="shared" si="6"/>
        <v>0.95442643489155143</v>
      </c>
      <c r="R12" s="615"/>
      <c r="S12" s="34"/>
      <c r="T12" s="34"/>
      <c r="U12" s="12"/>
      <c r="V12" s="349"/>
      <c r="W12" s="12"/>
      <c r="X12" s="12"/>
      <c r="Y12" s="24">
        <f>SUM(Y9:Y11)</f>
        <v>0</v>
      </c>
      <c r="Z12" s="24">
        <f>SUM(Z9:Z11)</f>
        <v>0</v>
      </c>
      <c r="AA12" s="614"/>
      <c r="AB12" s="614"/>
      <c r="AC12" s="24">
        <v>3</v>
      </c>
      <c r="AD12" s="24">
        <f>SUM(AD9:AD11)</f>
        <v>0</v>
      </c>
      <c r="AE12" s="14">
        <f t="shared" si="8"/>
        <v>-68.360347662672893</v>
      </c>
      <c r="AF12" s="346">
        <f t="shared" si="9"/>
        <v>0.95442643489155143</v>
      </c>
      <c r="AG12" s="615"/>
    </row>
    <row r="13" spans="1:33" ht="16.5" customHeight="1">
      <c r="A13" s="646" t="s">
        <v>1570</v>
      </c>
      <c r="B13" s="350" t="s">
        <v>22</v>
      </c>
      <c r="C13" s="640" t="s">
        <v>23</v>
      </c>
      <c r="D13" s="640"/>
      <c r="E13" s="29">
        <v>41</v>
      </c>
      <c r="F13" s="350">
        <v>2111</v>
      </c>
      <c r="G13" s="341">
        <f t="shared" ref="G13:G19" si="15">E13*F13</f>
        <v>86551</v>
      </c>
      <c r="H13" s="33" t="s">
        <v>57</v>
      </c>
      <c r="I13" s="348">
        <v>26</v>
      </c>
      <c r="J13" s="31">
        <v>1500</v>
      </c>
      <c r="K13" s="12">
        <f t="shared" si="1"/>
        <v>57.692307692307693</v>
      </c>
      <c r="L13" s="348">
        <v>26</v>
      </c>
      <c r="M13" s="13">
        <f t="shared" ref="M13:M19" si="16">F13/V13*60</f>
        <v>1439.318181818182</v>
      </c>
      <c r="N13" s="12">
        <f t="shared" si="3"/>
        <v>55.358391608391614</v>
      </c>
      <c r="O13" s="14">
        <f t="shared" si="4"/>
        <v>0</v>
      </c>
      <c r="P13" s="15">
        <f t="shared" si="5"/>
        <v>-2.3339160839160797</v>
      </c>
      <c r="Q13" s="346">
        <f t="shared" si="6"/>
        <v>0.95954545454545459</v>
      </c>
      <c r="R13" s="615">
        <f>Q20</f>
        <v>0.9588339279120367</v>
      </c>
      <c r="S13" s="34">
        <v>8.3333333333333329E-2</v>
      </c>
      <c r="T13" s="34">
        <v>0.14444444444444443</v>
      </c>
      <c r="U13" s="341"/>
      <c r="V13" s="349">
        <f t="shared" ref="V13:V19" si="17">(T13-S13)*24*60</f>
        <v>87.999999999999986</v>
      </c>
      <c r="W13" s="16">
        <f>T13</f>
        <v>0.14444444444444443</v>
      </c>
      <c r="X13" s="16">
        <f>S14</f>
        <v>0.16458333333333333</v>
      </c>
      <c r="Y13" s="21"/>
      <c r="Z13" s="21"/>
      <c r="AA13" s="617"/>
      <c r="AB13" s="617"/>
      <c r="AC13" s="35">
        <v>7</v>
      </c>
      <c r="AD13" s="18"/>
      <c r="AE13" s="14">
        <f t="shared" si="8"/>
        <v>-60.681818181818016</v>
      </c>
      <c r="AF13" s="346">
        <f t="shared" si="9"/>
        <v>0.9595454545454547</v>
      </c>
      <c r="AG13" s="615">
        <f>AF20</f>
        <v>0.95883392791203681</v>
      </c>
    </row>
    <row r="14" spans="1:33" ht="16.5" customHeight="1">
      <c r="A14" s="647" t="s">
        <v>1570</v>
      </c>
      <c r="B14" s="350" t="s">
        <v>22</v>
      </c>
      <c r="C14" s="640" t="s">
        <v>87</v>
      </c>
      <c r="D14" s="640"/>
      <c r="E14" s="29">
        <v>38.619999999999997</v>
      </c>
      <c r="F14" s="350">
        <v>2548</v>
      </c>
      <c r="G14" s="341">
        <f t="shared" si="15"/>
        <v>98403.76</v>
      </c>
      <c r="H14" s="33" t="s">
        <v>57</v>
      </c>
      <c r="I14" s="348">
        <v>24</v>
      </c>
      <c r="J14" s="31">
        <v>1500</v>
      </c>
      <c r="K14" s="12">
        <f t="shared" si="1"/>
        <v>62.5</v>
      </c>
      <c r="L14" s="348">
        <v>24</v>
      </c>
      <c r="M14" s="13">
        <f t="shared" si="16"/>
        <v>1428.7850467289722</v>
      </c>
      <c r="N14" s="12">
        <f t="shared" si="3"/>
        <v>59.532710280373841</v>
      </c>
      <c r="O14" s="14">
        <f t="shared" si="4"/>
        <v>0</v>
      </c>
      <c r="P14" s="15">
        <f t="shared" si="5"/>
        <v>-2.9672897196261587</v>
      </c>
      <c r="Q14" s="346">
        <f t="shared" si="6"/>
        <v>0.95252336448598141</v>
      </c>
      <c r="R14" s="615"/>
      <c r="S14" s="34">
        <v>0.16458333333333333</v>
      </c>
      <c r="T14" s="34">
        <v>0.23888888888888887</v>
      </c>
      <c r="U14" s="341">
        <f t="shared" ref="U14:U19" si="18">IF(S14=TIME(17,0,0),"",(S14-T13)*24*60)</f>
        <v>29.000000000000018</v>
      </c>
      <c r="V14" s="349">
        <f t="shared" si="17"/>
        <v>106.99999999999999</v>
      </c>
      <c r="W14" s="16"/>
      <c r="X14" s="16"/>
      <c r="Y14" s="16"/>
      <c r="Z14" s="16"/>
      <c r="AA14" s="617"/>
      <c r="AB14" s="617"/>
      <c r="AC14" s="35"/>
      <c r="AD14" s="18"/>
      <c r="AE14" s="14">
        <f t="shared" si="8"/>
        <v>-71.214953271027753</v>
      </c>
      <c r="AF14" s="346">
        <f t="shared" si="9"/>
        <v>0.95252336448598152</v>
      </c>
      <c r="AG14" s="615"/>
    </row>
    <row r="15" spans="1:33" ht="16.5" customHeight="1">
      <c r="A15" s="647" t="s">
        <v>1570</v>
      </c>
      <c r="B15" s="350" t="s">
        <v>15</v>
      </c>
      <c r="C15" s="640" t="s">
        <v>86</v>
      </c>
      <c r="D15" s="640"/>
      <c r="E15" s="29">
        <v>37.03</v>
      </c>
      <c r="F15" s="350">
        <v>3272</v>
      </c>
      <c r="G15" s="341">
        <f t="shared" si="15"/>
        <v>121162.16</v>
      </c>
      <c r="H15" s="33" t="s">
        <v>57</v>
      </c>
      <c r="I15" s="348">
        <v>13</v>
      </c>
      <c r="J15" s="31">
        <v>1500</v>
      </c>
      <c r="K15" s="12">
        <f t="shared" si="1"/>
        <v>115.38461538461539</v>
      </c>
      <c r="L15" s="348">
        <v>13</v>
      </c>
      <c r="M15" s="13">
        <f t="shared" si="16"/>
        <v>1432.9927007299268</v>
      </c>
      <c r="N15" s="12">
        <f t="shared" si="3"/>
        <v>110.23020774845591</v>
      </c>
      <c r="O15" s="14">
        <f t="shared" si="4"/>
        <v>0</v>
      </c>
      <c r="P15" s="15">
        <f t="shared" si="5"/>
        <v>-5.1544076361594762</v>
      </c>
      <c r="Q15" s="346">
        <f t="shared" si="6"/>
        <v>0.95532846715328457</v>
      </c>
      <c r="R15" s="615"/>
      <c r="S15" s="34">
        <v>0.24236111111111108</v>
      </c>
      <c r="T15" s="34">
        <v>0.33749999999999997</v>
      </c>
      <c r="U15" s="341">
        <f t="shared" si="18"/>
        <v>4.9999999999999822</v>
      </c>
      <c r="V15" s="349">
        <f t="shared" si="17"/>
        <v>137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-67.00729927007319</v>
      </c>
      <c r="AF15" s="346">
        <f t="shared" si="9"/>
        <v>0.95532846715328457</v>
      </c>
      <c r="AG15" s="615"/>
    </row>
    <row r="16" spans="1:33" ht="16.5" customHeight="1">
      <c r="A16" s="647" t="s">
        <v>1570</v>
      </c>
      <c r="B16" s="350" t="s">
        <v>19</v>
      </c>
      <c r="C16" s="640" t="s">
        <v>267</v>
      </c>
      <c r="D16" s="640"/>
      <c r="E16" s="29">
        <v>39.520000000000003</v>
      </c>
      <c r="F16" s="350">
        <v>3535</v>
      </c>
      <c r="G16" s="341">
        <f t="shared" si="15"/>
        <v>139703.20000000001</v>
      </c>
      <c r="H16" s="33" t="s">
        <v>57</v>
      </c>
      <c r="I16" s="348">
        <v>19</v>
      </c>
      <c r="J16" s="31">
        <v>1500</v>
      </c>
      <c r="K16" s="12">
        <f t="shared" si="1"/>
        <v>78.94736842105263</v>
      </c>
      <c r="L16" s="348">
        <v>19</v>
      </c>
      <c r="M16" s="13">
        <f t="shared" si="16"/>
        <v>1433.1081081081079</v>
      </c>
      <c r="N16" s="12">
        <f t="shared" si="3"/>
        <v>75.426742532005676</v>
      </c>
      <c r="O16" s="14">
        <f t="shared" si="4"/>
        <v>0</v>
      </c>
      <c r="P16" s="15">
        <f t="shared" si="5"/>
        <v>-3.5206258890469542</v>
      </c>
      <c r="Q16" s="346">
        <f t="shared" si="6"/>
        <v>0.95540540540540519</v>
      </c>
      <c r="R16" s="615"/>
      <c r="S16" s="34">
        <v>0.34236111111111106</v>
      </c>
      <c r="T16" s="34">
        <v>0.44513888888888886</v>
      </c>
      <c r="U16" s="341">
        <f t="shared" si="18"/>
        <v>6.9999999999999751</v>
      </c>
      <c r="V16" s="349">
        <f t="shared" si="17"/>
        <v>148.00000000000003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-66.891891891892101</v>
      </c>
      <c r="AF16" s="346">
        <f t="shared" si="9"/>
        <v>0.95540540540540531</v>
      </c>
      <c r="AG16" s="615"/>
    </row>
    <row r="17" spans="1:33" ht="16.5" customHeight="1">
      <c r="A17" s="647" t="s">
        <v>1570</v>
      </c>
      <c r="B17" s="350" t="s">
        <v>15</v>
      </c>
      <c r="C17" s="640" t="s">
        <v>25</v>
      </c>
      <c r="D17" s="640"/>
      <c r="E17" s="29">
        <v>53.68</v>
      </c>
      <c r="F17" s="350">
        <v>927</v>
      </c>
      <c r="G17" s="341">
        <f t="shared" si="15"/>
        <v>49761.36</v>
      </c>
      <c r="H17" s="33" t="s">
        <v>57</v>
      </c>
      <c r="I17" s="348">
        <v>16</v>
      </c>
      <c r="J17" s="31">
        <v>1500</v>
      </c>
      <c r="K17" s="12">
        <f t="shared" si="1"/>
        <v>93.75</v>
      </c>
      <c r="L17" s="348">
        <v>16</v>
      </c>
      <c r="M17" s="13">
        <f t="shared" si="16"/>
        <v>1463.6842105263147</v>
      </c>
      <c r="N17" s="12">
        <f t="shared" si="3"/>
        <v>91.480263157894669</v>
      </c>
      <c r="O17" s="14">
        <f t="shared" si="4"/>
        <v>0</v>
      </c>
      <c r="P17" s="15">
        <f t="shared" si="5"/>
        <v>-2.2697368421053312</v>
      </c>
      <c r="Q17" s="346">
        <f t="shared" si="6"/>
        <v>0.97578947368420976</v>
      </c>
      <c r="R17" s="615"/>
      <c r="S17" s="34">
        <v>0.70833333333333337</v>
      </c>
      <c r="T17" s="34">
        <v>0.73472222222222228</v>
      </c>
      <c r="U17" s="341" t="str">
        <f t="shared" si="18"/>
        <v/>
      </c>
      <c r="V17" s="349">
        <f t="shared" si="17"/>
        <v>38.000000000000028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-36.3157894736853</v>
      </c>
      <c r="AF17" s="346">
        <f t="shared" si="9"/>
        <v>0.97578947368420976</v>
      </c>
      <c r="AG17" s="615"/>
    </row>
    <row r="18" spans="1:33" ht="16.5" customHeight="1">
      <c r="A18" s="647" t="s">
        <v>1570</v>
      </c>
      <c r="B18" s="350" t="s">
        <v>15</v>
      </c>
      <c r="C18" s="352" t="s">
        <v>18</v>
      </c>
      <c r="D18" s="353"/>
      <c r="E18" s="29">
        <v>52.86</v>
      </c>
      <c r="F18" s="350">
        <v>1027</v>
      </c>
      <c r="G18" s="341">
        <f t="shared" si="15"/>
        <v>54287.22</v>
      </c>
      <c r="H18" s="33" t="s">
        <v>57</v>
      </c>
      <c r="I18" s="348">
        <v>16</v>
      </c>
      <c r="J18" s="31">
        <v>2000</v>
      </c>
      <c r="K18" s="12">
        <f t="shared" si="1"/>
        <v>125</v>
      </c>
      <c r="L18" s="348">
        <v>16</v>
      </c>
      <c r="M18" s="13">
        <f t="shared" si="16"/>
        <v>1925.6249999999975</v>
      </c>
      <c r="N18" s="12">
        <f t="shared" si="3"/>
        <v>120.35156249999984</v>
      </c>
      <c r="O18" s="14">
        <f t="shared" si="4"/>
        <v>0</v>
      </c>
      <c r="P18" s="15">
        <f t="shared" si="5"/>
        <v>-4.6484375000001563</v>
      </c>
      <c r="Q18" s="346">
        <f t="shared" si="6"/>
        <v>0.96281249999999874</v>
      </c>
      <c r="R18" s="615"/>
      <c r="S18" s="34">
        <v>0.74027777777777781</v>
      </c>
      <c r="T18" s="34">
        <v>0.76250000000000007</v>
      </c>
      <c r="U18" s="341">
        <f t="shared" si="18"/>
        <v>7.9999999999999716</v>
      </c>
      <c r="V18" s="349">
        <f t="shared" si="17"/>
        <v>32.000000000000043</v>
      </c>
      <c r="W18" s="16"/>
      <c r="X18" s="16"/>
      <c r="Y18" s="19"/>
      <c r="Z18" s="19"/>
      <c r="AA18" s="344"/>
      <c r="AB18" s="345"/>
      <c r="AC18" s="35"/>
      <c r="AD18" s="18"/>
      <c r="AE18" s="14">
        <f t="shared" si="8"/>
        <v>-74.375000000002501</v>
      </c>
      <c r="AF18" s="346">
        <f t="shared" si="9"/>
        <v>0.96281249999999874</v>
      </c>
      <c r="AG18" s="615"/>
    </row>
    <row r="19" spans="1:33" ht="16.5" customHeight="1">
      <c r="A19" s="647" t="s">
        <v>1570</v>
      </c>
      <c r="B19" s="350" t="s">
        <v>15</v>
      </c>
      <c r="C19" s="352" t="s">
        <v>16</v>
      </c>
      <c r="D19" s="353"/>
      <c r="E19" s="29">
        <v>50.67</v>
      </c>
      <c r="F19" s="350">
        <v>1237</v>
      </c>
      <c r="G19" s="341">
        <f t="shared" si="15"/>
        <v>62678.79</v>
      </c>
      <c r="H19" s="33" t="s">
        <v>57</v>
      </c>
      <c r="I19" s="348">
        <v>17</v>
      </c>
      <c r="J19" s="31">
        <v>2000</v>
      </c>
      <c r="K19" s="12">
        <f t="shared" si="1"/>
        <v>117.64705882352941</v>
      </c>
      <c r="L19" s="348">
        <v>17</v>
      </c>
      <c r="M19" s="13">
        <f t="shared" si="16"/>
        <v>1903.076923076922</v>
      </c>
      <c r="N19" s="12">
        <f t="shared" si="3"/>
        <v>111.94570135746599</v>
      </c>
      <c r="O19" s="14">
        <f t="shared" si="4"/>
        <v>0</v>
      </c>
      <c r="P19" s="15">
        <f t="shared" si="5"/>
        <v>-5.7013574660634134</v>
      </c>
      <c r="Q19" s="346">
        <f t="shared" si="6"/>
        <v>0.951538461538461</v>
      </c>
      <c r="R19" s="615"/>
      <c r="S19" s="34">
        <v>0.76736111111111116</v>
      </c>
      <c r="T19" s="34">
        <v>0.79444444444444451</v>
      </c>
      <c r="U19" s="341">
        <f t="shared" si="18"/>
        <v>6.9999999999999751</v>
      </c>
      <c r="V19" s="349">
        <f t="shared" si="17"/>
        <v>39.000000000000021</v>
      </c>
      <c r="W19" s="16"/>
      <c r="X19" s="16"/>
      <c r="Y19" s="19"/>
      <c r="Z19" s="19"/>
      <c r="AA19" s="344"/>
      <c r="AB19" s="345"/>
      <c r="AC19" s="35"/>
      <c r="AD19" s="18"/>
      <c r="AE19" s="14">
        <f t="shared" si="8"/>
        <v>-96.923076923078042</v>
      </c>
      <c r="AF19" s="346">
        <f t="shared" si="9"/>
        <v>0.951538461538461</v>
      </c>
      <c r="AG19" s="615"/>
    </row>
    <row r="20" spans="1:33" ht="16.5" customHeight="1">
      <c r="A20" s="647" t="s">
        <v>1570</v>
      </c>
      <c r="B20" s="29" t="s">
        <v>1571</v>
      </c>
      <c r="C20" s="618"/>
      <c r="D20" s="618"/>
      <c r="E20" s="347"/>
      <c r="F20" s="30"/>
      <c r="G20" s="12"/>
      <c r="H20" s="350"/>
      <c r="I20" s="23">
        <v>18.714285714285715</v>
      </c>
      <c r="J20" s="31">
        <v>1642.8571428571429</v>
      </c>
      <c r="K20" s="12">
        <f t="shared" si="1"/>
        <v>87.786259541984734</v>
      </c>
      <c r="L20" s="23">
        <v>18.714285714285715</v>
      </c>
      <c r="M20" s="13">
        <f>AVERAGE(M13:M19)</f>
        <v>1575.2271672840604</v>
      </c>
      <c r="N20" s="12">
        <f t="shared" si="3"/>
        <v>84.172444053346737</v>
      </c>
      <c r="O20" s="14">
        <f t="shared" si="4"/>
        <v>0</v>
      </c>
      <c r="P20" s="15">
        <f t="shared" si="5"/>
        <v>-3.6138154886379965</v>
      </c>
      <c r="Q20" s="346">
        <f t="shared" si="6"/>
        <v>0.9588339279120367</v>
      </c>
      <c r="R20" s="615"/>
      <c r="S20" s="34"/>
      <c r="T20" s="34"/>
      <c r="U20" s="341"/>
      <c r="V20" s="349"/>
      <c r="W20" s="12"/>
      <c r="X20" s="12"/>
      <c r="Y20" s="24">
        <f>SUM(Y13:Y19)</f>
        <v>0</v>
      </c>
      <c r="Z20" s="24">
        <f>SUM(Z13:Z19)</f>
        <v>0</v>
      </c>
      <c r="AA20" s="614"/>
      <c r="AB20" s="614"/>
      <c r="AC20" s="24">
        <v>7</v>
      </c>
      <c r="AD20" s="24">
        <f>SUM(AD13:AD19)</f>
        <v>0</v>
      </c>
      <c r="AE20" s="14">
        <f t="shared" si="8"/>
        <v>-67.629975573082447</v>
      </c>
      <c r="AF20" s="346">
        <f t="shared" si="9"/>
        <v>0.95883392791203681</v>
      </c>
      <c r="AG20" s="615"/>
    </row>
    <row r="21" spans="1:33" ht="15.75" customHeight="1">
      <c r="A21" s="642" t="s">
        <v>1572</v>
      </c>
      <c r="B21" s="29" t="s">
        <v>15</v>
      </c>
      <c r="C21" s="640" t="s">
        <v>24</v>
      </c>
      <c r="D21" s="640"/>
      <c r="E21" s="29">
        <v>54.09</v>
      </c>
      <c r="F21" s="350">
        <v>1245</v>
      </c>
      <c r="G21" s="341">
        <f t="shared" ref="G21:G27" si="19">E21*F21</f>
        <v>67342.05</v>
      </c>
      <c r="H21" s="33" t="s">
        <v>57</v>
      </c>
      <c r="I21" s="348">
        <v>17</v>
      </c>
      <c r="J21" s="31">
        <v>1500</v>
      </c>
      <c r="K21" s="12">
        <f t="shared" si="1"/>
        <v>88.235294117647058</v>
      </c>
      <c r="L21" s="348">
        <v>17</v>
      </c>
      <c r="M21" s="13">
        <f t="shared" ref="M21:M27" si="20">F21/V21*60</f>
        <v>1436.5384615384612</v>
      </c>
      <c r="N21" s="12">
        <f t="shared" si="3"/>
        <v>84.502262443438894</v>
      </c>
      <c r="O21" s="14">
        <f t="shared" si="4"/>
        <v>0</v>
      </c>
      <c r="P21" s="15">
        <f t="shared" si="5"/>
        <v>-3.7330316742081635</v>
      </c>
      <c r="Q21" s="346">
        <f t="shared" si="6"/>
        <v>0.95769230769230751</v>
      </c>
      <c r="R21" s="615">
        <f>Q28</f>
        <v>0.96087410465039624</v>
      </c>
      <c r="S21" s="34">
        <v>0.20833333333333334</v>
      </c>
      <c r="T21" s="34">
        <v>0.24444444444444446</v>
      </c>
      <c r="U21" s="341"/>
      <c r="V21" s="349">
        <f t="shared" ref="V21:V27" si="21">(T21-S21)*24*60</f>
        <v>52.000000000000014</v>
      </c>
      <c r="W21" s="21"/>
      <c r="X21" s="21"/>
      <c r="Y21" s="21"/>
      <c r="Z21" s="21"/>
      <c r="AA21" s="617"/>
      <c r="AB21" s="617"/>
      <c r="AC21" s="35">
        <v>7</v>
      </c>
      <c r="AD21" s="18"/>
      <c r="AE21" s="14">
        <f t="shared" si="8"/>
        <v>-63.461538461538794</v>
      </c>
      <c r="AF21" s="346">
        <f t="shared" si="9"/>
        <v>0.95769230769230751</v>
      </c>
      <c r="AG21" s="615">
        <f>AF28</f>
        <v>0.96087410465039624</v>
      </c>
    </row>
    <row r="22" spans="1:33" ht="15.75" customHeight="1">
      <c r="A22" s="643" t="s">
        <v>1572</v>
      </c>
      <c r="B22" s="29" t="s">
        <v>15</v>
      </c>
      <c r="C22" s="640" t="s">
        <v>28</v>
      </c>
      <c r="D22" s="640"/>
      <c r="E22" s="29">
        <v>50.67</v>
      </c>
      <c r="F22" s="350">
        <v>2117</v>
      </c>
      <c r="G22" s="341">
        <f t="shared" si="19"/>
        <v>107268.39</v>
      </c>
      <c r="H22" s="33" t="s">
        <v>57</v>
      </c>
      <c r="I22" s="348">
        <v>17</v>
      </c>
      <c r="J22" s="31">
        <v>2000</v>
      </c>
      <c r="K22" s="12">
        <f t="shared" si="1"/>
        <v>117.64705882352941</v>
      </c>
      <c r="L22" s="348">
        <v>17</v>
      </c>
      <c r="M22" s="13">
        <f t="shared" si="20"/>
        <v>1924.5454545454534</v>
      </c>
      <c r="N22" s="12">
        <f t="shared" si="3"/>
        <v>113.20855614973254</v>
      </c>
      <c r="O22" s="14">
        <f t="shared" si="4"/>
        <v>0</v>
      </c>
      <c r="P22" s="15">
        <f t="shared" si="5"/>
        <v>-4.4385026737968616</v>
      </c>
      <c r="Q22" s="346">
        <f t="shared" si="6"/>
        <v>0.96227272727272672</v>
      </c>
      <c r="R22" s="615"/>
      <c r="S22" s="34">
        <v>0.24930555555555559</v>
      </c>
      <c r="T22" s="34">
        <v>0.29513888888888895</v>
      </c>
      <c r="U22" s="341">
        <f t="shared" ref="U22:U27" si="22">IF(S22=TIME(17,0,0),"",(S22-T21)*24*60)</f>
        <v>7.0000000000000151</v>
      </c>
      <c r="V22" s="349">
        <f t="shared" si="21"/>
        <v>66.000000000000043</v>
      </c>
      <c r="W22" s="16"/>
      <c r="X22" s="341"/>
      <c r="Y22" s="341"/>
      <c r="Z22" s="341"/>
      <c r="AA22" s="617"/>
      <c r="AB22" s="617"/>
      <c r="AC22" s="35"/>
      <c r="AD22" s="18"/>
      <c r="AE22" s="14">
        <f t="shared" si="8"/>
        <v>-75.454545454546633</v>
      </c>
      <c r="AF22" s="346">
        <f t="shared" si="9"/>
        <v>0.96227272727272672</v>
      </c>
      <c r="AG22" s="615"/>
    </row>
    <row r="23" spans="1:33" ht="15.75" customHeight="1">
      <c r="A23" s="643" t="s">
        <v>1572</v>
      </c>
      <c r="B23" s="29" t="s">
        <v>15</v>
      </c>
      <c r="C23" s="640" t="s">
        <v>29</v>
      </c>
      <c r="D23" s="640"/>
      <c r="E23" s="29">
        <v>57.73</v>
      </c>
      <c r="F23" s="350">
        <v>2403</v>
      </c>
      <c r="G23" s="341">
        <f t="shared" si="19"/>
        <v>138725.19</v>
      </c>
      <c r="H23" s="33" t="s">
        <v>57</v>
      </c>
      <c r="I23" s="348">
        <v>14</v>
      </c>
      <c r="J23" s="31">
        <v>2000</v>
      </c>
      <c r="K23" s="12">
        <f t="shared" si="1"/>
        <v>142.85714285714286</v>
      </c>
      <c r="L23" s="348">
        <v>14</v>
      </c>
      <c r="M23" s="13">
        <f t="shared" si="20"/>
        <v>1922.4000000000008</v>
      </c>
      <c r="N23" s="12">
        <f t="shared" si="3"/>
        <v>137.31428571428577</v>
      </c>
      <c r="O23" s="14">
        <f t="shared" si="4"/>
        <v>0</v>
      </c>
      <c r="P23" s="15">
        <f t="shared" si="5"/>
        <v>-5.5428571428570876</v>
      </c>
      <c r="Q23" s="346">
        <f t="shared" si="6"/>
        <v>0.96120000000000039</v>
      </c>
      <c r="R23" s="615"/>
      <c r="S23" s="34">
        <v>0.30000000000000004</v>
      </c>
      <c r="T23" s="34">
        <v>0.35208333333333336</v>
      </c>
      <c r="U23" s="341">
        <f t="shared" si="22"/>
        <v>6.9999999999999751</v>
      </c>
      <c r="V23" s="349">
        <f t="shared" si="21"/>
        <v>74.999999999999972</v>
      </c>
      <c r="W23" s="16"/>
      <c r="X23" s="341"/>
      <c r="Y23" s="341"/>
      <c r="Z23" s="341"/>
      <c r="AA23" s="617"/>
      <c r="AB23" s="617"/>
      <c r="AC23" s="35"/>
      <c r="AD23" s="18"/>
      <c r="AE23" s="14">
        <f t="shared" si="8"/>
        <v>-77.599999999999227</v>
      </c>
      <c r="AF23" s="346">
        <f t="shared" si="9"/>
        <v>0.96120000000000039</v>
      </c>
      <c r="AG23" s="615"/>
    </row>
    <row r="24" spans="1:33" ht="15.75" customHeight="1">
      <c r="A24" s="643" t="s">
        <v>1572</v>
      </c>
      <c r="B24" s="29" t="s">
        <v>15</v>
      </c>
      <c r="C24" s="640" t="s">
        <v>80</v>
      </c>
      <c r="D24" s="640"/>
      <c r="E24" s="29">
        <v>53.27</v>
      </c>
      <c r="F24" s="350">
        <v>1569</v>
      </c>
      <c r="G24" s="341">
        <f t="shared" si="19"/>
        <v>83580.63</v>
      </c>
      <c r="H24" s="33" t="s">
        <v>57</v>
      </c>
      <c r="I24" s="348">
        <v>16</v>
      </c>
      <c r="J24" s="31">
        <v>2000</v>
      </c>
      <c r="K24" s="12">
        <f t="shared" si="1"/>
        <v>125</v>
      </c>
      <c r="L24" s="348">
        <v>16</v>
      </c>
      <c r="M24" s="13">
        <f t="shared" si="20"/>
        <v>1921.224489795919</v>
      </c>
      <c r="N24" s="12">
        <f t="shared" si="3"/>
        <v>120.07653061224494</v>
      </c>
      <c r="O24" s="14">
        <f t="shared" si="4"/>
        <v>0</v>
      </c>
      <c r="P24" s="15">
        <f t="shared" si="5"/>
        <v>-4.9234693877550626</v>
      </c>
      <c r="Q24" s="346">
        <f t="shared" si="6"/>
        <v>0.96061224489795949</v>
      </c>
      <c r="R24" s="615"/>
      <c r="S24" s="34">
        <v>0.35694444444444445</v>
      </c>
      <c r="T24" s="34">
        <v>0.39097222222222222</v>
      </c>
      <c r="U24" s="341">
        <f t="shared" si="22"/>
        <v>6.9999999999999751</v>
      </c>
      <c r="V24" s="349">
        <f t="shared" si="21"/>
        <v>48.999999999999986</v>
      </c>
      <c r="W24" s="16"/>
      <c r="X24" s="341"/>
      <c r="Y24" s="341"/>
      <c r="Z24" s="341"/>
      <c r="AA24" s="617"/>
      <c r="AB24" s="617"/>
      <c r="AC24" s="35"/>
      <c r="AD24" s="18"/>
      <c r="AE24" s="14">
        <f t="shared" si="8"/>
        <v>-78.775510204081002</v>
      </c>
      <c r="AF24" s="346">
        <f t="shared" si="9"/>
        <v>0.96061224489795949</v>
      </c>
      <c r="AG24" s="615"/>
    </row>
    <row r="25" spans="1:33" ht="15.75" customHeight="1">
      <c r="A25" s="643" t="s">
        <v>1572</v>
      </c>
      <c r="B25" s="29" t="s">
        <v>15</v>
      </c>
      <c r="C25" s="640" t="s">
        <v>1472</v>
      </c>
      <c r="D25" s="640"/>
      <c r="E25" s="29">
        <v>51.44</v>
      </c>
      <c r="F25" s="350">
        <v>3195</v>
      </c>
      <c r="G25" s="341">
        <f t="shared" si="19"/>
        <v>164350.79999999999</v>
      </c>
      <c r="H25" s="33" t="s">
        <v>57</v>
      </c>
      <c r="I25" s="348">
        <v>25</v>
      </c>
      <c r="J25" s="31">
        <v>2000</v>
      </c>
      <c r="K25" s="12">
        <f t="shared" si="1"/>
        <v>80</v>
      </c>
      <c r="L25" s="348">
        <v>25</v>
      </c>
      <c r="M25" s="13">
        <f t="shared" si="20"/>
        <v>1916.9999999999991</v>
      </c>
      <c r="N25" s="12">
        <f t="shared" si="3"/>
        <v>76.679999999999964</v>
      </c>
      <c r="O25" s="14">
        <f t="shared" si="4"/>
        <v>0</v>
      </c>
      <c r="P25" s="15">
        <f t="shared" si="5"/>
        <v>-3.3200000000000358</v>
      </c>
      <c r="Q25" s="346">
        <f t="shared" si="6"/>
        <v>0.95849999999999957</v>
      </c>
      <c r="R25" s="615"/>
      <c r="S25" s="34">
        <v>0.39444444444444443</v>
      </c>
      <c r="T25" s="34">
        <v>0.46388888888888891</v>
      </c>
      <c r="U25" s="341">
        <f t="shared" si="22"/>
        <v>4.9999999999999822</v>
      </c>
      <c r="V25" s="349">
        <f t="shared" si="21"/>
        <v>100.00000000000004</v>
      </c>
      <c r="W25" s="16"/>
      <c r="X25" s="16"/>
      <c r="Y25" s="341"/>
      <c r="Z25" s="341"/>
      <c r="AA25" s="617"/>
      <c r="AB25" s="617"/>
      <c r="AC25" s="35"/>
      <c r="AD25" s="18"/>
      <c r="AE25" s="14">
        <f t="shared" si="8"/>
        <v>-83.000000000000909</v>
      </c>
      <c r="AF25" s="346">
        <f t="shared" si="9"/>
        <v>0.95849999999999957</v>
      </c>
      <c r="AG25" s="615"/>
    </row>
    <row r="26" spans="1:33" ht="15.75" customHeight="1">
      <c r="A26" s="643" t="s">
        <v>1572</v>
      </c>
      <c r="B26" s="29" t="s">
        <v>15</v>
      </c>
      <c r="C26" s="640" t="s">
        <v>30</v>
      </c>
      <c r="D26" s="640"/>
      <c r="E26" s="29">
        <v>50.49</v>
      </c>
      <c r="F26" s="350">
        <v>1510</v>
      </c>
      <c r="G26" s="341">
        <f t="shared" si="19"/>
        <v>76239.900000000009</v>
      </c>
      <c r="H26" s="33" t="s">
        <v>57</v>
      </c>
      <c r="I26" s="348">
        <v>15</v>
      </c>
      <c r="J26" s="31">
        <v>2000</v>
      </c>
      <c r="K26" s="12">
        <f t="shared" si="1"/>
        <v>133.33333333333334</v>
      </c>
      <c r="L26" s="348">
        <v>15</v>
      </c>
      <c r="M26" s="13">
        <f t="shared" si="20"/>
        <v>1927.6595744680853</v>
      </c>
      <c r="N26" s="12">
        <f t="shared" si="3"/>
        <v>128.51063829787236</v>
      </c>
      <c r="O26" s="14">
        <f t="shared" si="4"/>
        <v>0</v>
      </c>
      <c r="P26" s="15">
        <f t="shared" si="5"/>
        <v>-4.8226950354609812</v>
      </c>
      <c r="Q26" s="346">
        <f t="shared" si="6"/>
        <v>0.96382978723404267</v>
      </c>
      <c r="R26" s="615"/>
      <c r="S26" s="34">
        <v>0.70833333333333337</v>
      </c>
      <c r="T26" s="34">
        <v>0.74097222222222225</v>
      </c>
      <c r="U26" s="341" t="str">
        <f t="shared" si="22"/>
        <v/>
      </c>
      <c r="V26" s="349">
        <f t="shared" si="21"/>
        <v>46.999999999999993</v>
      </c>
      <c r="W26" s="16"/>
      <c r="X26" s="21"/>
      <c r="Y26" s="21"/>
      <c r="Z26" s="21"/>
      <c r="AA26" s="617"/>
      <c r="AB26" s="617"/>
      <c r="AC26" s="35"/>
      <c r="AD26" s="18"/>
      <c r="AE26" s="14">
        <f t="shared" si="8"/>
        <v>-72.340425531914661</v>
      </c>
      <c r="AF26" s="346">
        <f t="shared" si="9"/>
        <v>0.96382978723404267</v>
      </c>
      <c r="AG26" s="615"/>
    </row>
    <row r="27" spans="1:33" ht="15.75" customHeight="1">
      <c r="A27" s="643" t="s">
        <v>1572</v>
      </c>
      <c r="B27" s="29" t="s">
        <v>15</v>
      </c>
      <c r="C27" s="666" t="s">
        <v>82</v>
      </c>
      <c r="D27" s="667"/>
      <c r="E27" s="29">
        <v>51.06</v>
      </c>
      <c r="F27" s="350">
        <v>2371</v>
      </c>
      <c r="G27" s="341">
        <f t="shared" si="19"/>
        <v>121063.26000000001</v>
      </c>
      <c r="H27" s="33" t="s">
        <v>57</v>
      </c>
      <c r="I27" s="348">
        <v>13</v>
      </c>
      <c r="J27" s="31">
        <v>2000</v>
      </c>
      <c r="K27" s="12">
        <f t="shared" si="1"/>
        <v>153.84615384615384</v>
      </c>
      <c r="L27" s="348">
        <v>13</v>
      </c>
      <c r="M27" s="13">
        <f t="shared" si="20"/>
        <v>1922.4324324324311</v>
      </c>
      <c r="N27" s="12">
        <f t="shared" si="3"/>
        <v>147.87941787941779</v>
      </c>
      <c r="O27" s="14">
        <f t="shared" si="4"/>
        <v>0</v>
      </c>
      <c r="P27" s="15">
        <f t="shared" si="5"/>
        <v>-5.9667359667360529</v>
      </c>
      <c r="Q27" s="346">
        <f t="shared" si="6"/>
        <v>0.96121621621621567</v>
      </c>
      <c r="R27" s="615"/>
      <c r="S27" s="34">
        <v>0.74652777777777779</v>
      </c>
      <c r="T27" s="34">
        <v>0.79791666666666672</v>
      </c>
      <c r="U27" s="341">
        <f t="shared" si="22"/>
        <v>7.9999999999999716</v>
      </c>
      <c r="V27" s="349">
        <f t="shared" si="21"/>
        <v>74.000000000000057</v>
      </c>
      <c r="W27" s="16"/>
      <c r="X27" s="21"/>
      <c r="Y27" s="22"/>
      <c r="Z27" s="22"/>
      <c r="AA27" s="624"/>
      <c r="AB27" s="625"/>
      <c r="AC27" s="35"/>
      <c r="AD27" s="18"/>
      <c r="AE27" s="14">
        <f t="shared" si="8"/>
        <v>-77.567567567568858</v>
      </c>
      <c r="AF27" s="346">
        <f t="shared" si="9"/>
        <v>0.96121621621621556</v>
      </c>
      <c r="AG27" s="615"/>
    </row>
    <row r="28" spans="1:33" ht="15.75" customHeight="1">
      <c r="A28" s="643" t="s">
        <v>1572</v>
      </c>
      <c r="B28" s="29" t="s">
        <v>1571</v>
      </c>
      <c r="C28" s="618"/>
      <c r="D28" s="618"/>
      <c r="E28" s="347"/>
      <c r="F28" s="350"/>
      <c r="G28" s="341"/>
      <c r="H28" s="350"/>
      <c r="I28" s="23">
        <v>16.714285714285715</v>
      </c>
      <c r="J28" s="31">
        <v>1928.5714285714287</v>
      </c>
      <c r="K28" s="12">
        <f t="shared" si="1"/>
        <v>115.38461538461539</v>
      </c>
      <c r="L28" s="23">
        <v>16.714285714285715</v>
      </c>
      <c r="M28" s="13">
        <f>AVERAGE(M21:M27)</f>
        <v>1853.1143446829071</v>
      </c>
      <c r="N28" s="12">
        <f t="shared" si="3"/>
        <v>110.87008899812264</v>
      </c>
      <c r="O28" s="14">
        <f t="shared" si="4"/>
        <v>0</v>
      </c>
      <c r="P28" s="15">
        <f t="shared" si="5"/>
        <v>-4.5145263864927472</v>
      </c>
      <c r="Q28" s="346">
        <f t="shared" si="6"/>
        <v>0.96087410465039624</v>
      </c>
      <c r="R28" s="615"/>
      <c r="S28" s="34"/>
      <c r="T28" s="34"/>
      <c r="U28" s="12"/>
      <c r="V28" s="349"/>
      <c r="W28" s="12"/>
      <c r="X28" s="12"/>
      <c r="Y28" s="24">
        <f>SUM(Y21:Y27)</f>
        <v>0</v>
      </c>
      <c r="Z28" s="24">
        <f>SUM(Z21:Z27)</f>
        <v>0</v>
      </c>
      <c r="AA28" s="614"/>
      <c r="AB28" s="614"/>
      <c r="AC28" s="24">
        <v>7</v>
      </c>
      <c r="AD28" s="24">
        <f>SUM(AD21:AD27)</f>
        <v>0</v>
      </c>
      <c r="AE28" s="14">
        <f t="shared" si="8"/>
        <v>-75.457083888521538</v>
      </c>
      <c r="AF28" s="346">
        <f t="shared" si="9"/>
        <v>0.96087410465039624</v>
      </c>
      <c r="AG28" s="615"/>
    </row>
    <row r="29" spans="1:33" ht="15.75" customHeight="1">
      <c r="A29" s="641" t="s">
        <v>1573</v>
      </c>
      <c r="B29" s="29" t="s">
        <v>32</v>
      </c>
      <c r="C29" s="640" t="s">
        <v>33</v>
      </c>
      <c r="D29" s="640"/>
      <c r="E29" s="29">
        <v>31.29</v>
      </c>
      <c r="F29" s="350">
        <v>5100</v>
      </c>
      <c r="G29" s="341">
        <f t="shared" ref="G29:G35" si="23">E29*F29</f>
        <v>159579</v>
      </c>
      <c r="H29" s="33">
        <v>2</v>
      </c>
      <c r="I29" s="348">
        <v>18</v>
      </c>
      <c r="J29" s="31">
        <v>2400</v>
      </c>
      <c r="K29" s="12">
        <f t="shared" si="1"/>
        <v>133.33333333333334</v>
      </c>
      <c r="L29" s="348">
        <v>18</v>
      </c>
      <c r="M29" s="13">
        <f t="shared" ref="M29:M35" si="24">F29/V29*60</f>
        <v>2283.5820895522393</v>
      </c>
      <c r="N29" s="12">
        <f t="shared" si="3"/>
        <v>126.86567164179107</v>
      </c>
      <c r="O29" s="14">
        <f t="shared" si="4"/>
        <v>0</v>
      </c>
      <c r="P29" s="15">
        <f t="shared" si="5"/>
        <v>-6.4676616915422755</v>
      </c>
      <c r="Q29" s="346">
        <f t="shared" si="6"/>
        <v>0.95149253731343297</v>
      </c>
      <c r="R29" s="615">
        <f>Q36</f>
        <v>0.95405806351182232</v>
      </c>
      <c r="S29" s="34">
        <v>8.3333333333333329E-2</v>
      </c>
      <c r="T29" s="34">
        <v>0.17638888888888887</v>
      </c>
      <c r="U29" s="341"/>
      <c r="V29" s="349">
        <f t="shared" ref="V29:V35" si="25">(T29-S29)*24*60</f>
        <v>133.99999999999997</v>
      </c>
      <c r="W29" s="16">
        <f>T29</f>
        <v>0.17638888888888887</v>
      </c>
      <c r="X29" s="16">
        <f>S30</f>
        <v>0.19652777777777777</v>
      </c>
      <c r="Y29" s="16"/>
      <c r="Z29" s="16"/>
      <c r="AA29" s="617"/>
      <c r="AB29" s="617"/>
      <c r="AC29" s="35">
        <v>7</v>
      </c>
      <c r="AD29" s="18"/>
      <c r="AE29" s="14">
        <f t="shared" si="8"/>
        <v>-116.41791044776073</v>
      </c>
      <c r="AF29" s="346">
        <f t="shared" si="9"/>
        <v>0.95149253731343297</v>
      </c>
      <c r="AG29" s="615">
        <f>AF36</f>
        <v>0.95405806351182221</v>
      </c>
    </row>
    <row r="30" spans="1:33" ht="15.75" customHeight="1">
      <c r="A30" s="641" t="s">
        <v>1573</v>
      </c>
      <c r="B30" s="29" t="s">
        <v>32</v>
      </c>
      <c r="C30" s="640" t="s">
        <v>34</v>
      </c>
      <c r="D30" s="640"/>
      <c r="E30" s="29">
        <v>26.37</v>
      </c>
      <c r="F30" s="350">
        <v>5913</v>
      </c>
      <c r="G30" s="341">
        <f t="shared" si="23"/>
        <v>155925.81</v>
      </c>
      <c r="H30" s="33" t="s">
        <v>57</v>
      </c>
      <c r="I30" s="348">
        <v>18</v>
      </c>
      <c r="J30" s="31">
        <v>2400</v>
      </c>
      <c r="K30" s="12">
        <f t="shared" si="1"/>
        <v>133.33333333333334</v>
      </c>
      <c r="L30" s="348">
        <v>18</v>
      </c>
      <c r="M30" s="13">
        <f t="shared" si="24"/>
        <v>2288.9032258064512</v>
      </c>
      <c r="N30" s="12">
        <f t="shared" si="3"/>
        <v>127.16129032258063</v>
      </c>
      <c r="O30" s="14">
        <f t="shared" si="4"/>
        <v>0</v>
      </c>
      <c r="P30" s="15">
        <f t="shared" si="5"/>
        <v>-6.1720430107527164</v>
      </c>
      <c r="Q30" s="346">
        <f t="shared" si="6"/>
        <v>0.95370967741935464</v>
      </c>
      <c r="R30" s="615"/>
      <c r="S30" s="34">
        <v>0.19652777777777777</v>
      </c>
      <c r="T30" s="34">
        <v>0.3041666666666667</v>
      </c>
      <c r="U30" s="341">
        <f t="shared" ref="U30:U35" si="26">(S30-T29)*24*60</f>
        <v>29.000000000000018</v>
      </c>
      <c r="V30" s="349">
        <f t="shared" si="25"/>
        <v>155.00000000000003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-111.09677419354875</v>
      </c>
      <c r="AF30" s="346">
        <f t="shared" si="9"/>
        <v>0.95370967741935464</v>
      </c>
      <c r="AG30" s="615"/>
    </row>
    <row r="31" spans="1:33" ht="15.75" customHeight="1">
      <c r="A31" s="641" t="s">
        <v>1573</v>
      </c>
      <c r="B31" s="29" t="s">
        <v>32</v>
      </c>
      <c r="C31" s="640" t="s">
        <v>76</v>
      </c>
      <c r="D31" s="640"/>
      <c r="E31" s="29">
        <v>26.18</v>
      </c>
      <c r="F31" s="350">
        <v>4300</v>
      </c>
      <c r="G31" s="341">
        <f t="shared" si="23"/>
        <v>112574</v>
      </c>
      <c r="H31" s="33">
        <v>2</v>
      </c>
      <c r="I31" s="348">
        <v>18</v>
      </c>
      <c r="J31" s="31">
        <v>2400</v>
      </c>
      <c r="K31" s="12">
        <f t="shared" si="1"/>
        <v>133.33333333333334</v>
      </c>
      <c r="L31" s="348">
        <v>18</v>
      </c>
      <c r="M31" s="13">
        <f t="shared" si="24"/>
        <v>2283.1858407079644</v>
      </c>
      <c r="N31" s="12">
        <f t="shared" si="3"/>
        <v>126.84365781710913</v>
      </c>
      <c r="O31" s="14">
        <f t="shared" si="4"/>
        <v>0</v>
      </c>
      <c r="P31" s="15">
        <f t="shared" si="5"/>
        <v>-6.4896755162242101</v>
      </c>
      <c r="Q31" s="346">
        <f t="shared" si="6"/>
        <v>0.9513274336283184</v>
      </c>
      <c r="R31" s="615"/>
      <c r="S31" s="34">
        <v>0.30833333333333335</v>
      </c>
      <c r="T31" s="34">
        <v>0.38680555555555557</v>
      </c>
      <c r="U31" s="341">
        <f t="shared" si="26"/>
        <v>5.9999999999999787</v>
      </c>
      <c r="V31" s="349">
        <f t="shared" si="25"/>
        <v>113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-116.81415929203558</v>
      </c>
      <c r="AF31" s="346">
        <f t="shared" si="9"/>
        <v>0.95132743362831851</v>
      </c>
      <c r="AG31" s="615"/>
    </row>
    <row r="32" spans="1:33" ht="15.75" customHeight="1">
      <c r="A32" s="641" t="s">
        <v>1573</v>
      </c>
      <c r="B32" s="29" t="s">
        <v>32</v>
      </c>
      <c r="C32" s="640" t="s">
        <v>79</v>
      </c>
      <c r="D32" s="640"/>
      <c r="E32" s="29">
        <v>25.99</v>
      </c>
      <c r="F32" s="350">
        <v>2040</v>
      </c>
      <c r="G32" s="341">
        <f t="shared" si="23"/>
        <v>53019.6</v>
      </c>
      <c r="H32" s="33" t="s">
        <v>57</v>
      </c>
      <c r="I32" s="348">
        <v>18</v>
      </c>
      <c r="J32" s="31">
        <v>2400</v>
      </c>
      <c r="K32" s="12">
        <f t="shared" si="1"/>
        <v>133.33333333333334</v>
      </c>
      <c r="L32" s="348">
        <v>18</v>
      </c>
      <c r="M32" s="13">
        <f t="shared" si="24"/>
        <v>2309.4339622641519</v>
      </c>
      <c r="N32" s="12">
        <f t="shared" si="3"/>
        <v>128.30188679245288</v>
      </c>
      <c r="O32" s="14">
        <f t="shared" si="4"/>
        <v>0</v>
      </c>
      <c r="P32" s="15">
        <f t="shared" si="5"/>
        <v>-5.0314465408804665</v>
      </c>
      <c r="Q32" s="346">
        <f t="shared" si="6"/>
        <v>0.96226415094339646</v>
      </c>
      <c r="R32" s="615"/>
      <c r="S32" s="34">
        <v>0.39166666666666666</v>
      </c>
      <c r="T32" s="34">
        <v>0.4284722222222222</v>
      </c>
      <c r="U32" s="341">
        <f t="shared" si="26"/>
        <v>6.9999999999999751</v>
      </c>
      <c r="V32" s="349">
        <f t="shared" si="25"/>
        <v>52.999999999999972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-90.566037735848113</v>
      </c>
      <c r="AF32" s="346">
        <f t="shared" si="9"/>
        <v>0.96226415094339657</v>
      </c>
      <c r="AG32" s="615"/>
    </row>
    <row r="33" spans="1:33" ht="15.75" customHeight="1">
      <c r="A33" s="641" t="s">
        <v>1573</v>
      </c>
      <c r="B33" s="29" t="s">
        <v>32</v>
      </c>
      <c r="C33" s="640" t="s">
        <v>35</v>
      </c>
      <c r="D33" s="640"/>
      <c r="E33" s="29">
        <v>25.99</v>
      </c>
      <c r="F33" s="350">
        <v>3894</v>
      </c>
      <c r="G33" s="341">
        <f t="shared" si="23"/>
        <v>101205.06</v>
      </c>
      <c r="H33" s="33" t="s">
        <v>57</v>
      </c>
      <c r="I33" s="348">
        <v>14</v>
      </c>
      <c r="J33" s="31">
        <v>2400</v>
      </c>
      <c r="K33" s="12">
        <f t="shared" si="1"/>
        <v>171.42857142857142</v>
      </c>
      <c r="L33" s="348">
        <v>14</v>
      </c>
      <c r="M33" s="13">
        <f t="shared" si="24"/>
        <v>2290.5882352941167</v>
      </c>
      <c r="N33" s="12">
        <f t="shared" si="3"/>
        <v>163.6134453781512</v>
      </c>
      <c r="O33" s="14">
        <f t="shared" si="4"/>
        <v>0</v>
      </c>
      <c r="P33" s="15">
        <f t="shared" si="5"/>
        <v>-7.8151260504202185</v>
      </c>
      <c r="Q33" s="346">
        <f t="shared" si="6"/>
        <v>0.95441176470588207</v>
      </c>
      <c r="R33" s="615"/>
      <c r="S33" s="34">
        <v>0.43402777777777773</v>
      </c>
      <c r="T33" s="34">
        <v>0.50486111111111109</v>
      </c>
      <c r="U33" s="341">
        <f t="shared" si="26"/>
        <v>7.9999999999999716</v>
      </c>
      <c r="V33" s="349">
        <f t="shared" si="25"/>
        <v>102.00000000000004</v>
      </c>
      <c r="W33" s="16">
        <f>T33</f>
        <v>0.50486111111111109</v>
      </c>
      <c r="X33" s="16">
        <f>S34</f>
        <v>0.5444444444444444</v>
      </c>
      <c r="Y33" s="16"/>
      <c r="Z33" s="16"/>
      <c r="AA33" s="617"/>
      <c r="AB33" s="617"/>
      <c r="AC33" s="35"/>
      <c r="AD33" s="18"/>
      <c r="AE33" s="14">
        <f t="shared" si="8"/>
        <v>-109.41176470588334</v>
      </c>
      <c r="AF33" s="346">
        <f t="shared" si="9"/>
        <v>0.95441176470588196</v>
      </c>
      <c r="AG33" s="615"/>
    </row>
    <row r="34" spans="1:33" ht="15.75" customHeight="1">
      <c r="A34" s="641" t="s">
        <v>1573</v>
      </c>
      <c r="B34" s="29" t="s">
        <v>32</v>
      </c>
      <c r="C34" s="640" t="s">
        <v>33</v>
      </c>
      <c r="D34" s="640"/>
      <c r="E34" s="29">
        <v>31.29</v>
      </c>
      <c r="F34" s="350">
        <v>3500</v>
      </c>
      <c r="G34" s="341">
        <f t="shared" si="23"/>
        <v>109515</v>
      </c>
      <c r="H34" s="33" t="s">
        <v>57</v>
      </c>
      <c r="I34" s="348">
        <v>18</v>
      </c>
      <c r="J34" s="31">
        <v>2400</v>
      </c>
      <c r="K34" s="12">
        <f t="shared" si="1"/>
        <v>133.33333333333334</v>
      </c>
      <c r="L34" s="348">
        <v>18</v>
      </c>
      <c r="M34" s="13">
        <f t="shared" si="24"/>
        <v>2282.608695652174</v>
      </c>
      <c r="N34" s="12">
        <f t="shared" si="3"/>
        <v>126.81159420289856</v>
      </c>
      <c r="O34" s="14">
        <f t="shared" si="4"/>
        <v>0</v>
      </c>
      <c r="P34" s="15">
        <f t="shared" si="5"/>
        <v>-6.5217391304347814</v>
      </c>
      <c r="Q34" s="346">
        <f t="shared" si="6"/>
        <v>0.95108695652173914</v>
      </c>
      <c r="R34" s="615"/>
      <c r="S34" s="34">
        <v>0.5444444444444444</v>
      </c>
      <c r="T34" s="34">
        <v>0.60833333333333328</v>
      </c>
      <c r="U34" s="341">
        <f t="shared" si="26"/>
        <v>56.999999999999957</v>
      </c>
      <c r="V34" s="349">
        <f t="shared" si="25"/>
        <v>92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-117.39130434782601</v>
      </c>
      <c r="AF34" s="346">
        <f t="shared" si="9"/>
        <v>0.95108695652173914</v>
      </c>
      <c r="AG34" s="615"/>
    </row>
    <row r="35" spans="1:33" ht="15.75" customHeight="1">
      <c r="A35" s="641" t="s">
        <v>1573</v>
      </c>
      <c r="B35" s="29" t="s">
        <v>32</v>
      </c>
      <c r="C35" s="640" t="s">
        <v>76</v>
      </c>
      <c r="D35" s="640"/>
      <c r="E35" s="29">
        <v>26.18</v>
      </c>
      <c r="F35" s="350">
        <v>3015</v>
      </c>
      <c r="G35" s="341">
        <f t="shared" si="23"/>
        <v>78932.7</v>
      </c>
      <c r="H35" s="33" t="s">
        <v>57</v>
      </c>
      <c r="I35" s="348">
        <v>18</v>
      </c>
      <c r="J35" s="31">
        <v>2400</v>
      </c>
      <c r="K35" s="12">
        <f t="shared" si="1"/>
        <v>133.33333333333334</v>
      </c>
      <c r="L35" s="348">
        <v>18</v>
      </c>
      <c r="M35" s="13">
        <f t="shared" si="24"/>
        <v>2289.8734177215179</v>
      </c>
      <c r="N35" s="12">
        <f t="shared" si="3"/>
        <v>127.21518987341766</v>
      </c>
      <c r="O35" s="14">
        <f t="shared" si="4"/>
        <v>0</v>
      </c>
      <c r="P35" s="15">
        <f t="shared" si="5"/>
        <v>-6.1181434599156859</v>
      </c>
      <c r="Q35" s="346">
        <f t="shared" si="6"/>
        <v>0.95411392405063233</v>
      </c>
      <c r="R35" s="615"/>
      <c r="S35" s="34">
        <v>0.61249999999999993</v>
      </c>
      <c r="T35" s="34">
        <v>0.66736111111111107</v>
      </c>
      <c r="U35" s="341">
        <f t="shared" si="26"/>
        <v>5.9999999999999787</v>
      </c>
      <c r="V35" s="349">
        <f t="shared" si="25"/>
        <v>79.000000000000043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-110.12658227848215</v>
      </c>
      <c r="AF35" s="346">
        <f t="shared" si="9"/>
        <v>0.95411392405063244</v>
      </c>
      <c r="AG35" s="615"/>
    </row>
    <row r="36" spans="1:33" ht="15.75" customHeight="1">
      <c r="A36" s="641" t="s">
        <v>1573</v>
      </c>
      <c r="B36" s="29" t="s">
        <v>1571</v>
      </c>
      <c r="C36" s="618"/>
      <c r="D36" s="618"/>
      <c r="E36" s="347"/>
      <c r="F36" s="350"/>
      <c r="G36" s="341"/>
      <c r="H36" s="350"/>
      <c r="I36" s="23">
        <v>17.428571428571427</v>
      </c>
      <c r="J36" s="31">
        <v>2400</v>
      </c>
      <c r="K36" s="12">
        <f t="shared" si="1"/>
        <v>137.70491803278691</v>
      </c>
      <c r="L36" s="23">
        <v>17.428571428571427</v>
      </c>
      <c r="M36" s="13">
        <f>AVERAGE(M29:M35)</f>
        <v>2289.7393524283734</v>
      </c>
      <c r="N36" s="12">
        <f t="shared" si="3"/>
        <v>131.37848743441489</v>
      </c>
      <c r="O36" s="14">
        <f t="shared" si="4"/>
        <v>0</v>
      </c>
      <c r="P36" s="15">
        <f t="shared" si="5"/>
        <v>-6.3264305983720135</v>
      </c>
      <c r="Q36" s="346">
        <f t="shared" si="6"/>
        <v>0.95405806351182232</v>
      </c>
      <c r="R36" s="615"/>
      <c r="S36" s="34"/>
      <c r="T36" s="34"/>
      <c r="U36" s="341"/>
      <c r="V36" s="349"/>
      <c r="W36" s="341"/>
      <c r="X36" s="341"/>
      <c r="Y36" s="24">
        <f>SUM(Y29:Y35)</f>
        <v>0</v>
      </c>
      <c r="Z36" s="24">
        <f>SUM(Z29:Z35)</f>
        <v>0</v>
      </c>
      <c r="AA36" s="614"/>
      <c r="AB36" s="614"/>
      <c r="AC36" s="24">
        <v>7</v>
      </c>
      <c r="AD36" s="24">
        <f>SUM(AD29:AD35)</f>
        <v>0</v>
      </c>
      <c r="AE36" s="14">
        <f t="shared" si="8"/>
        <v>-110.26064757162658</v>
      </c>
      <c r="AF36" s="346">
        <f t="shared" si="9"/>
        <v>0.95405806351182221</v>
      </c>
      <c r="AG36" s="615"/>
    </row>
    <row r="37" spans="1:33" ht="15.75" customHeight="1">
      <c r="A37" s="638" t="s">
        <v>1574</v>
      </c>
      <c r="B37" s="29" t="s">
        <v>32</v>
      </c>
      <c r="C37" s="616" t="s">
        <v>77</v>
      </c>
      <c r="D37" s="616"/>
      <c r="E37" s="29">
        <v>26.18</v>
      </c>
      <c r="F37" s="350">
        <v>5643</v>
      </c>
      <c r="G37" s="341">
        <f t="shared" ref="G37:G43" si="27">E37*F37</f>
        <v>147733.74</v>
      </c>
      <c r="H37" s="33" t="s">
        <v>57</v>
      </c>
      <c r="I37" s="348">
        <v>20</v>
      </c>
      <c r="J37" s="31">
        <v>2400</v>
      </c>
      <c r="K37" s="12">
        <f t="shared" si="1"/>
        <v>120</v>
      </c>
      <c r="L37" s="348">
        <v>20</v>
      </c>
      <c r="M37" s="13">
        <f t="shared" ref="M37:M43" si="28">F37/V37*60</f>
        <v>2287.7027027027029</v>
      </c>
      <c r="N37" s="12">
        <f t="shared" si="3"/>
        <v>114.38513513513514</v>
      </c>
      <c r="O37" s="14">
        <f t="shared" si="4"/>
        <v>0</v>
      </c>
      <c r="P37" s="15">
        <f t="shared" si="5"/>
        <v>-5.614864864864856</v>
      </c>
      <c r="Q37" s="346">
        <f t="shared" si="6"/>
        <v>0.95320945945945956</v>
      </c>
      <c r="R37" s="615">
        <f>Q44</f>
        <v>0.95453676288021505</v>
      </c>
      <c r="S37" s="34">
        <v>8.3333333333333329E-2</v>
      </c>
      <c r="T37" s="34">
        <v>0.18611111111111112</v>
      </c>
      <c r="U37" s="341"/>
      <c r="V37" s="349">
        <f t="shared" ref="V37:V43" si="29">(T37-S37)*24*60</f>
        <v>148</v>
      </c>
      <c r="W37" s="21">
        <f>T37</f>
        <v>0.18611111111111112</v>
      </c>
      <c r="X37" s="21">
        <f>S38</f>
        <v>0.20416666666666666</v>
      </c>
      <c r="Y37" s="21"/>
      <c r="Z37" s="21"/>
      <c r="AA37" s="617"/>
      <c r="AB37" s="617"/>
      <c r="AC37" s="35">
        <v>7</v>
      </c>
      <c r="AD37" s="18"/>
      <c r="AE37" s="14">
        <f t="shared" si="8"/>
        <v>-112.29729729729706</v>
      </c>
      <c r="AF37" s="346">
        <f t="shared" si="9"/>
        <v>0.95320945945945956</v>
      </c>
      <c r="AG37" s="615">
        <f>AF44</f>
        <v>0.95453676288021516</v>
      </c>
    </row>
    <row r="38" spans="1:33" ht="15.75" customHeight="1">
      <c r="A38" s="638" t="s">
        <v>1574</v>
      </c>
      <c r="B38" s="29" t="s">
        <v>32</v>
      </c>
      <c r="C38" s="616" t="s">
        <v>37</v>
      </c>
      <c r="D38" s="616"/>
      <c r="E38" s="29">
        <v>24.43</v>
      </c>
      <c r="F38" s="350">
        <v>3600</v>
      </c>
      <c r="G38" s="341">
        <f t="shared" si="27"/>
        <v>87948</v>
      </c>
      <c r="H38" s="33">
        <v>2</v>
      </c>
      <c r="I38" s="348">
        <v>14</v>
      </c>
      <c r="J38" s="31">
        <v>2400</v>
      </c>
      <c r="K38" s="12">
        <f t="shared" si="1"/>
        <v>171.42857142857142</v>
      </c>
      <c r="L38" s="348">
        <v>14</v>
      </c>
      <c r="M38" s="13">
        <f t="shared" si="28"/>
        <v>2297.872340425532</v>
      </c>
      <c r="N38" s="12">
        <f t="shared" si="3"/>
        <v>164.13373860182372</v>
      </c>
      <c r="O38" s="14">
        <f t="shared" si="4"/>
        <v>0</v>
      </c>
      <c r="P38" s="15">
        <f t="shared" si="5"/>
        <v>-7.2948328267476938</v>
      </c>
      <c r="Q38" s="346">
        <f t="shared" si="6"/>
        <v>0.95744680851063846</v>
      </c>
      <c r="R38" s="615"/>
      <c r="S38" s="34">
        <v>0.20416666666666666</v>
      </c>
      <c r="T38" s="34">
        <v>0.26944444444444443</v>
      </c>
      <c r="U38" s="341">
        <f t="shared" ref="U38:U43" si="30">(S38-T37)*24*60</f>
        <v>25.999999999999986</v>
      </c>
      <c r="V38" s="349">
        <f t="shared" si="29"/>
        <v>93.999999999999986</v>
      </c>
      <c r="W38" s="341"/>
      <c r="X38" s="341"/>
      <c r="Y38" s="341"/>
      <c r="Z38" s="341"/>
      <c r="AA38" s="617"/>
      <c r="AB38" s="617"/>
      <c r="AC38" s="35"/>
      <c r="AD38" s="18"/>
      <c r="AE38" s="14">
        <f t="shared" si="8"/>
        <v>-102.127659574468</v>
      </c>
      <c r="AF38" s="346">
        <f t="shared" si="9"/>
        <v>0.95744680851063835</v>
      </c>
      <c r="AG38" s="615"/>
    </row>
    <row r="39" spans="1:33">
      <c r="A39" s="639" t="s">
        <v>1574</v>
      </c>
      <c r="B39" s="29" t="s">
        <v>32</v>
      </c>
      <c r="C39" s="616" t="s">
        <v>38</v>
      </c>
      <c r="D39" s="616"/>
      <c r="E39" s="29">
        <v>25.98</v>
      </c>
      <c r="F39" s="350">
        <v>2945</v>
      </c>
      <c r="G39" s="341">
        <f t="shared" si="27"/>
        <v>76511.100000000006</v>
      </c>
      <c r="H39" s="33" t="s">
        <v>57</v>
      </c>
      <c r="I39" s="348">
        <v>21</v>
      </c>
      <c r="J39" s="31">
        <v>2400</v>
      </c>
      <c r="K39" s="12">
        <f t="shared" si="1"/>
        <v>114.28571428571429</v>
      </c>
      <c r="L39" s="348">
        <v>21</v>
      </c>
      <c r="M39" s="13">
        <f t="shared" si="28"/>
        <v>2294.8051948051952</v>
      </c>
      <c r="N39" s="12">
        <f t="shared" si="3"/>
        <v>109.27643784786645</v>
      </c>
      <c r="O39" s="14">
        <f t="shared" si="4"/>
        <v>0</v>
      </c>
      <c r="P39" s="15">
        <f t="shared" si="5"/>
        <v>-5.0092764378478449</v>
      </c>
      <c r="Q39" s="346">
        <f t="shared" si="6"/>
        <v>0.95616883116883133</v>
      </c>
      <c r="R39" s="615"/>
      <c r="S39" s="34">
        <v>0.27499999999999997</v>
      </c>
      <c r="T39" s="34">
        <v>0.32847222222222217</v>
      </c>
      <c r="U39" s="341">
        <f t="shared" si="30"/>
        <v>7.9999999999999716</v>
      </c>
      <c r="V39" s="349">
        <f t="shared" si="29"/>
        <v>76.999999999999972</v>
      </c>
      <c r="W39" s="341"/>
      <c r="X39" s="341"/>
      <c r="Y39" s="341"/>
      <c r="Z39" s="341"/>
      <c r="AA39" s="617"/>
      <c r="AB39" s="617"/>
      <c r="AC39" s="35"/>
      <c r="AD39" s="18"/>
      <c r="AE39" s="14">
        <f t="shared" si="8"/>
        <v>-105.19480519480476</v>
      </c>
      <c r="AF39" s="346">
        <f t="shared" si="9"/>
        <v>0.95616883116883133</v>
      </c>
      <c r="AG39" s="615"/>
    </row>
    <row r="40" spans="1:33">
      <c r="A40" s="639" t="s">
        <v>1574</v>
      </c>
      <c r="B40" s="29" t="s">
        <v>32</v>
      </c>
      <c r="C40" s="616" t="s">
        <v>39</v>
      </c>
      <c r="D40" s="616"/>
      <c r="E40" s="29">
        <v>34.1</v>
      </c>
      <c r="F40" s="350">
        <v>3400</v>
      </c>
      <c r="G40" s="341">
        <f t="shared" si="27"/>
        <v>115940</v>
      </c>
      <c r="H40" s="33">
        <v>2</v>
      </c>
      <c r="I40" s="348">
        <v>17</v>
      </c>
      <c r="J40" s="31">
        <v>1600</v>
      </c>
      <c r="K40" s="12">
        <f t="shared" si="1"/>
        <v>94.117647058823536</v>
      </c>
      <c r="L40" s="348">
        <v>17</v>
      </c>
      <c r="M40" s="13">
        <f t="shared" si="28"/>
        <v>1522.3880597014925</v>
      </c>
      <c r="N40" s="12">
        <f t="shared" si="3"/>
        <v>89.552238805970148</v>
      </c>
      <c r="O40" s="14">
        <f t="shared" si="4"/>
        <v>0</v>
      </c>
      <c r="P40" s="15">
        <f t="shared" si="5"/>
        <v>-4.5654082528533877</v>
      </c>
      <c r="Q40" s="346">
        <f t="shared" si="6"/>
        <v>0.95149253731343275</v>
      </c>
      <c r="R40" s="615"/>
      <c r="S40" s="34">
        <v>0.33263888888888882</v>
      </c>
      <c r="T40" s="34">
        <v>0.42569444444444438</v>
      </c>
      <c r="U40" s="341">
        <f t="shared" si="30"/>
        <v>5.9999999999999787</v>
      </c>
      <c r="V40" s="349">
        <f t="shared" si="29"/>
        <v>134</v>
      </c>
      <c r="W40" s="16"/>
      <c r="X40" s="16"/>
      <c r="Y40" s="16"/>
      <c r="Z40" s="16"/>
      <c r="AA40" s="617"/>
      <c r="AB40" s="617"/>
      <c r="AC40" s="35"/>
      <c r="AD40" s="18"/>
      <c r="AE40" s="14">
        <f t="shared" si="8"/>
        <v>-77.611940298507534</v>
      </c>
      <c r="AF40" s="346">
        <f t="shared" si="9"/>
        <v>0.95149253731343275</v>
      </c>
      <c r="AG40" s="615"/>
    </row>
    <row r="41" spans="1:33">
      <c r="A41" s="639" t="s">
        <v>1574</v>
      </c>
      <c r="B41" s="29" t="s">
        <v>32</v>
      </c>
      <c r="C41" s="616" t="s">
        <v>84</v>
      </c>
      <c r="D41" s="616"/>
      <c r="E41" s="29">
        <v>20.21</v>
      </c>
      <c r="F41" s="350">
        <v>3591</v>
      </c>
      <c r="G41" s="341">
        <f t="shared" si="27"/>
        <v>72574.11</v>
      </c>
      <c r="H41" s="33" t="s">
        <v>57</v>
      </c>
      <c r="I41" s="348">
        <v>18</v>
      </c>
      <c r="J41" s="31">
        <v>2400</v>
      </c>
      <c r="K41" s="12">
        <f t="shared" si="1"/>
        <v>133.33333333333334</v>
      </c>
      <c r="L41" s="348">
        <v>18</v>
      </c>
      <c r="M41" s="13">
        <f t="shared" si="28"/>
        <v>2292.1276595744685</v>
      </c>
      <c r="N41" s="12">
        <f t="shared" si="3"/>
        <v>127.34042553191492</v>
      </c>
      <c r="O41" s="14">
        <f t="shared" si="4"/>
        <v>0</v>
      </c>
      <c r="P41" s="15">
        <f t="shared" si="5"/>
        <v>-5.9929078014184256</v>
      </c>
      <c r="Q41" s="346">
        <f t="shared" si="6"/>
        <v>0.95505319148936185</v>
      </c>
      <c r="R41" s="615"/>
      <c r="S41" s="34">
        <v>0.43124999999999991</v>
      </c>
      <c r="T41" s="34">
        <v>0.49652777777777768</v>
      </c>
      <c r="U41" s="341">
        <f t="shared" si="30"/>
        <v>7.9999999999999716</v>
      </c>
      <c r="V41" s="349">
        <f t="shared" si="29"/>
        <v>93.999999999999986</v>
      </c>
      <c r="W41" s="16">
        <f>T41</f>
        <v>0.49652777777777768</v>
      </c>
      <c r="X41" s="16">
        <f>S42</f>
        <v>0.53611111111111098</v>
      </c>
      <c r="Y41" s="16"/>
      <c r="Z41" s="16"/>
      <c r="AA41" s="617"/>
      <c r="AB41" s="617"/>
      <c r="AC41" s="35"/>
      <c r="AD41" s="18"/>
      <c r="AE41" s="14">
        <f t="shared" si="8"/>
        <v>-107.87234042553155</v>
      </c>
      <c r="AF41" s="346">
        <f t="shared" si="9"/>
        <v>0.95505319148936185</v>
      </c>
      <c r="AG41" s="615"/>
    </row>
    <row r="42" spans="1:33">
      <c r="A42" s="639" t="s">
        <v>1574</v>
      </c>
      <c r="B42" s="29" t="s">
        <v>32</v>
      </c>
      <c r="C42" s="616" t="s">
        <v>39</v>
      </c>
      <c r="D42" s="616"/>
      <c r="E42" s="29">
        <v>34.1</v>
      </c>
      <c r="F42" s="350">
        <v>2640</v>
      </c>
      <c r="G42" s="341">
        <f t="shared" si="27"/>
        <v>90024</v>
      </c>
      <c r="H42" s="33" t="s">
        <v>57</v>
      </c>
      <c r="I42" s="348">
        <v>17</v>
      </c>
      <c r="J42" s="31">
        <v>1600</v>
      </c>
      <c r="K42" s="12">
        <f t="shared" si="1"/>
        <v>94.117647058823536</v>
      </c>
      <c r="L42" s="348">
        <v>17</v>
      </c>
      <c r="M42" s="13">
        <f t="shared" si="28"/>
        <v>1523.0769230769238</v>
      </c>
      <c r="N42" s="12">
        <f t="shared" si="3"/>
        <v>89.592760180995512</v>
      </c>
      <c r="O42" s="14">
        <f t="shared" si="4"/>
        <v>0</v>
      </c>
      <c r="P42" s="15">
        <f t="shared" si="5"/>
        <v>-4.524886877828024</v>
      </c>
      <c r="Q42" s="346">
        <f t="shared" si="6"/>
        <v>0.9519230769230772</v>
      </c>
      <c r="R42" s="615"/>
      <c r="S42" s="34">
        <v>0.53611111111111098</v>
      </c>
      <c r="T42" s="34">
        <v>0.60833333333333317</v>
      </c>
      <c r="U42" s="341">
        <f t="shared" si="30"/>
        <v>56.999999999999957</v>
      </c>
      <c r="V42" s="349">
        <f t="shared" si="29"/>
        <v>103.99999999999994</v>
      </c>
      <c r="W42" s="16"/>
      <c r="X42" s="16"/>
      <c r="Y42" s="16"/>
      <c r="Z42" s="16"/>
      <c r="AA42" s="617"/>
      <c r="AB42" s="617"/>
      <c r="AC42" s="35"/>
      <c r="AD42" s="18"/>
      <c r="AE42" s="14">
        <f t="shared" si="8"/>
        <v>-76.923076923076223</v>
      </c>
      <c r="AF42" s="346">
        <f t="shared" si="9"/>
        <v>0.95192307692307732</v>
      </c>
      <c r="AG42" s="615"/>
    </row>
    <row r="43" spans="1:33">
      <c r="A43" s="639" t="s">
        <v>1574</v>
      </c>
      <c r="B43" s="29" t="s">
        <v>32</v>
      </c>
      <c r="C43" s="616" t="s">
        <v>37</v>
      </c>
      <c r="D43" s="616"/>
      <c r="E43" s="29">
        <v>24.43</v>
      </c>
      <c r="F43" s="350">
        <v>2711</v>
      </c>
      <c r="G43" s="341">
        <f t="shared" si="27"/>
        <v>66229.73</v>
      </c>
      <c r="H43" s="33" t="s">
        <v>57</v>
      </c>
      <c r="I43" s="348">
        <v>14</v>
      </c>
      <c r="J43" s="31">
        <v>2400</v>
      </c>
      <c r="K43" s="12">
        <f t="shared" si="1"/>
        <v>171.42857142857142</v>
      </c>
      <c r="L43" s="348">
        <v>14</v>
      </c>
      <c r="M43" s="13">
        <f t="shared" si="28"/>
        <v>2290.9859154929554</v>
      </c>
      <c r="N43" s="12">
        <f t="shared" si="3"/>
        <v>163.64185110663968</v>
      </c>
      <c r="O43" s="14">
        <f t="shared" si="4"/>
        <v>0</v>
      </c>
      <c r="P43" s="15">
        <f t="shared" si="5"/>
        <v>-7.7867203219317389</v>
      </c>
      <c r="Q43" s="346">
        <f t="shared" si="6"/>
        <v>0.95457746478873151</v>
      </c>
      <c r="R43" s="615"/>
      <c r="S43" s="34">
        <v>0.61319444444444426</v>
      </c>
      <c r="T43" s="34">
        <v>0.66249999999999987</v>
      </c>
      <c r="U43" s="341">
        <f t="shared" si="30"/>
        <v>6.9999999999999751</v>
      </c>
      <c r="V43" s="349">
        <f t="shared" si="29"/>
        <v>71.000000000000071</v>
      </c>
      <c r="W43" s="16"/>
      <c r="X43" s="16"/>
      <c r="Y43" s="19"/>
      <c r="Z43" s="19"/>
      <c r="AA43" s="624"/>
      <c r="AB43" s="625"/>
      <c r="AC43" s="35"/>
      <c r="AD43" s="18"/>
      <c r="AE43" s="14">
        <f t="shared" si="8"/>
        <v>-109.01408450704457</v>
      </c>
      <c r="AF43" s="346">
        <f t="shared" si="9"/>
        <v>0.9545774647887314</v>
      </c>
      <c r="AG43" s="615"/>
    </row>
    <row r="44" spans="1:33">
      <c r="A44" s="639" t="s">
        <v>1574</v>
      </c>
      <c r="B44" s="30" t="s">
        <v>1571</v>
      </c>
      <c r="C44" s="618"/>
      <c r="D44" s="618"/>
      <c r="E44" s="347"/>
      <c r="F44" s="30"/>
      <c r="G44" s="12"/>
      <c r="H44" s="350"/>
      <c r="I44" s="23">
        <v>17.285714285714285</v>
      </c>
      <c r="J44" s="31">
        <v>2171.4285714285716</v>
      </c>
      <c r="K44" s="12">
        <f t="shared" si="1"/>
        <v>125.61983471074382</v>
      </c>
      <c r="L44" s="23">
        <v>17.285714285714285</v>
      </c>
      <c r="M44" s="13">
        <f>AVERAGE(M37:M43)</f>
        <v>2072.7083993970386</v>
      </c>
      <c r="N44" s="12">
        <f t="shared" si="3"/>
        <v>119.90875037834108</v>
      </c>
      <c r="O44" s="14">
        <f t="shared" si="4"/>
        <v>0</v>
      </c>
      <c r="P44" s="15">
        <f t="shared" si="5"/>
        <v>-5.7110843324027343</v>
      </c>
      <c r="Q44" s="346">
        <f t="shared" si="6"/>
        <v>0.95453676288021505</v>
      </c>
      <c r="R44" s="615"/>
      <c r="S44" s="34"/>
      <c r="T44" s="34"/>
      <c r="U44" s="12"/>
      <c r="V44" s="349"/>
      <c r="W44" s="12"/>
      <c r="X44" s="12"/>
      <c r="Y44" s="24">
        <f>SUM(Y37:Y43)</f>
        <v>0</v>
      </c>
      <c r="Z44" s="24">
        <f>SUM(Z37:Z43)</f>
        <v>0</v>
      </c>
      <c r="AA44" s="614"/>
      <c r="AB44" s="614"/>
      <c r="AC44" s="24">
        <v>7</v>
      </c>
      <c r="AD44" s="24">
        <f>SUM(AD37:AD43)</f>
        <v>0</v>
      </c>
      <c r="AE44" s="14">
        <f t="shared" si="8"/>
        <v>-98.720172031532911</v>
      </c>
      <c r="AF44" s="346">
        <f t="shared" si="9"/>
        <v>0.95453676288021516</v>
      </c>
      <c r="AG44" s="615"/>
    </row>
    <row r="45" spans="1:33" ht="15.75" customHeight="1">
      <c r="A45" s="632" t="s">
        <v>1575</v>
      </c>
      <c r="B45" s="29" t="s">
        <v>40</v>
      </c>
      <c r="C45" s="622" t="s">
        <v>41</v>
      </c>
      <c r="D45" s="623"/>
      <c r="E45" s="29">
        <v>37.880000000000003</v>
      </c>
      <c r="F45" s="350">
        <v>718</v>
      </c>
      <c r="G45" s="341">
        <f t="shared" ref="G45:G48" si="31">E45*F45</f>
        <v>27197.84</v>
      </c>
      <c r="H45" s="33" t="s">
        <v>57</v>
      </c>
      <c r="I45" s="348">
        <v>13</v>
      </c>
      <c r="J45" s="31">
        <v>2000</v>
      </c>
      <c r="K45" s="12">
        <f t="shared" si="1"/>
        <v>153.84615384615384</v>
      </c>
      <c r="L45" s="348">
        <v>13</v>
      </c>
      <c r="M45" s="13">
        <f t="shared" ref="M45:M48" si="32">F45/V45*60</f>
        <v>1958.181818181818</v>
      </c>
      <c r="N45" s="13">
        <f t="shared" si="3"/>
        <v>150.62937062937061</v>
      </c>
      <c r="O45" s="14">
        <f t="shared" si="4"/>
        <v>0</v>
      </c>
      <c r="P45" s="15">
        <f t="shared" si="5"/>
        <v>-3.2167832167832273</v>
      </c>
      <c r="Q45" s="346">
        <f t="shared" si="6"/>
        <v>0.97909090909090901</v>
      </c>
      <c r="R45" s="635">
        <f>Q49</f>
        <v>0.95740028791430321</v>
      </c>
      <c r="S45" s="34">
        <v>8.3333333333333329E-2</v>
      </c>
      <c r="T45" s="34">
        <v>9.8611111111111108E-2</v>
      </c>
      <c r="U45" s="21"/>
      <c r="V45" s="349">
        <f t="shared" ref="V45:V48" si="33">(T45-S45)*24*60</f>
        <v>22</v>
      </c>
      <c r="W45" s="16">
        <f>T45</f>
        <v>9.8611111111111108E-2</v>
      </c>
      <c r="X45" s="16">
        <f>S46</f>
        <v>0.11874999999999999</v>
      </c>
      <c r="Y45" s="19"/>
      <c r="Z45" s="19"/>
      <c r="AA45" s="624"/>
      <c r="AB45" s="625"/>
      <c r="AC45" s="35">
        <v>4</v>
      </c>
      <c r="AD45" s="18"/>
      <c r="AE45" s="14">
        <f t="shared" si="8"/>
        <v>-41.818181818181984</v>
      </c>
      <c r="AF45" s="346">
        <f t="shared" si="9"/>
        <v>0.97909090909090901</v>
      </c>
      <c r="AG45" s="635">
        <f>AF49</f>
        <v>0.95740028791430321</v>
      </c>
    </row>
    <row r="46" spans="1:33" ht="15.75" customHeight="1">
      <c r="A46" s="633" t="s">
        <v>180</v>
      </c>
      <c r="B46" s="29" t="s">
        <v>40</v>
      </c>
      <c r="C46" s="622" t="s">
        <v>42</v>
      </c>
      <c r="D46" s="623"/>
      <c r="E46" s="29">
        <v>35.119999999999997</v>
      </c>
      <c r="F46" s="350">
        <v>5049</v>
      </c>
      <c r="G46" s="341">
        <f t="shared" si="31"/>
        <v>177320.87999999998</v>
      </c>
      <c r="H46" s="33" t="s">
        <v>57</v>
      </c>
      <c r="I46" s="348">
        <v>10</v>
      </c>
      <c r="J46" s="31">
        <v>3000</v>
      </c>
      <c r="K46" s="12">
        <f t="shared" si="1"/>
        <v>300</v>
      </c>
      <c r="L46" s="348">
        <v>10</v>
      </c>
      <c r="M46" s="13">
        <f t="shared" si="32"/>
        <v>2857.9245283018872</v>
      </c>
      <c r="N46" s="13">
        <f t="shared" si="3"/>
        <v>285.79245283018872</v>
      </c>
      <c r="O46" s="14">
        <f t="shared" si="4"/>
        <v>0</v>
      </c>
      <c r="P46" s="15">
        <f t="shared" si="5"/>
        <v>-14.207547169811278</v>
      </c>
      <c r="Q46" s="346">
        <f t="shared" si="6"/>
        <v>0.95264150943396242</v>
      </c>
      <c r="R46" s="636"/>
      <c r="S46" s="34">
        <v>0.11874999999999999</v>
      </c>
      <c r="T46" s="34">
        <v>0.19236111111111109</v>
      </c>
      <c r="U46" s="341">
        <f t="shared" ref="U46:U48" si="34">(S46-T45)*24*60</f>
        <v>28.999999999999996</v>
      </c>
      <c r="V46" s="349">
        <f t="shared" si="33"/>
        <v>105.99999999999999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-142.07547169811278</v>
      </c>
      <c r="AF46" s="346">
        <f t="shared" si="9"/>
        <v>0.95264150943396242</v>
      </c>
      <c r="AG46" s="636"/>
    </row>
    <row r="47" spans="1:33" ht="15.75" customHeight="1">
      <c r="A47" s="633" t="s">
        <v>180</v>
      </c>
      <c r="B47" s="29" t="s">
        <v>40</v>
      </c>
      <c r="C47" s="622" t="s">
        <v>43</v>
      </c>
      <c r="D47" s="623"/>
      <c r="E47" s="29">
        <v>21.13</v>
      </c>
      <c r="F47" s="350">
        <v>4905</v>
      </c>
      <c r="G47" s="341">
        <f t="shared" si="31"/>
        <v>103642.65</v>
      </c>
      <c r="H47" s="33" t="s">
        <v>57</v>
      </c>
      <c r="I47" s="348">
        <v>10</v>
      </c>
      <c r="J47" s="31">
        <v>3000</v>
      </c>
      <c r="K47" s="12">
        <f t="shared" si="1"/>
        <v>300</v>
      </c>
      <c r="L47" s="348">
        <v>10</v>
      </c>
      <c r="M47" s="13">
        <f t="shared" si="32"/>
        <v>2857.2815533980583</v>
      </c>
      <c r="N47" s="13">
        <f t="shared" si="3"/>
        <v>285.72815533980582</v>
      </c>
      <c r="O47" s="14">
        <f t="shared" si="4"/>
        <v>0</v>
      </c>
      <c r="P47" s="15">
        <f t="shared" si="5"/>
        <v>-14.271844660194176</v>
      </c>
      <c r="Q47" s="346">
        <f t="shared" si="6"/>
        <v>0.95242718446601937</v>
      </c>
      <c r="R47" s="636"/>
      <c r="S47" s="34">
        <v>0.19652777777777777</v>
      </c>
      <c r="T47" s="34">
        <v>0.26805555555555555</v>
      </c>
      <c r="U47" s="341">
        <f t="shared" si="34"/>
        <v>6.0000000000000187</v>
      </c>
      <c r="V47" s="349">
        <f t="shared" si="33"/>
        <v>103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-142.71844660194165</v>
      </c>
      <c r="AF47" s="346">
        <f t="shared" si="9"/>
        <v>0.95242718446601948</v>
      </c>
      <c r="AG47" s="636"/>
    </row>
    <row r="48" spans="1:33" ht="15.75" customHeight="1">
      <c r="A48" s="633" t="s">
        <v>180</v>
      </c>
      <c r="B48" s="29" t="s">
        <v>40</v>
      </c>
      <c r="C48" s="622" t="s">
        <v>44</v>
      </c>
      <c r="D48" s="623"/>
      <c r="E48" s="29">
        <v>27.17</v>
      </c>
      <c r="F48" s="350">
        <v>6240</v>
      </c>
      <c r="G48" s="341">
        <f t="shared" si="31"/>
        <v>169540.80000000002</v>
      </c>
      <c r="H48" s="33" t="s">
        <v>57</v>
      </c>
      <c r="I48" s="348">
        <v>10</v>
      </c>
      <c r="J48" s="31">
        <v>3000</v>
      </c>
      <c r="K48" s="12">
        <f t="shared" si="1"/>
        <v>300</v>
      </c>
      <c r="L48" s="348">
        <v>10</v>
      </c>
      <c r="M48" s="13">
        <f t="shared" si="32"/>
        <v>2858.0152671755723</v>
      </c>
      <c r="N48" s="13">
        <f t="shared" si="3"/>
        <v>285.80152671755724</v>
      </c>
      <c r="O48" s="14">
        <f t="shared" si="4"/>
        <v>0</v>
      </c>
      <c r="P48" s="15">
        <f t="shared" si="5"/>
        <v>-14.198473282442762</v>
      </c>
      <c r="Q48" s="346">
        <f t="shared" si="6"/>
        <v>0.95267175572519081</v>
      </c>
      <c r="R48" s="636"/>
      <c r="S48" s="34">
        <v>0.27361111111111108</v>
      </c>
      <c r="T48" s="34">
        <v>0.36458333333333331</v>
      </c>
      <c r="U48" s="341">
        <f t="shared" si="34"/>
        <v>7.9999999999999716</v>
      </c>
      <c r="V48" s="349">
        <f t="shared" si="33"/>
        <v>131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-141.98473282442774</v>
      </c>
      <c r="AF48" s="346">
        <f t="shared" si="9"/>
        <v>0.95267175572519081</v>
      </c>
      <c r="AG48" s="636"/>
    </row>
    <row r="49" spans="1:33" ht="15.75" customHeight="1">
      <c r="A49" s="634" t="s">
        <v>180</v>
      </c>
      <c r="B49" s="29" t="s">
        <v>6</v>
      </c>
      <c r="C49" s="612"/>
      <c r="D49" s="613"/>
      <c r="E49" s="339"/>
      <c r="F49" s="350"/>
      <c r="G49" s="341"/>
      <c r="H49" s="350"/>
      <c r="I49" s="23">
        <v>10.75</v>
      </c>
      <c r="J49" s="31">
        <v>2750</v>
      </c>
      <c r="K49" s="12">
        <f t="shared" si="1"/>
        <v>255.81395348837211</v>
      </c>
      <c r="L49" s="23">
        <v>10.75</v>
      </c>
      <c r="M49" s="13">
        <f>AVERAGE(M45:M48)</f>
        <v>2632.8507917643337</v>
      </c>
      <c r="N49" s="12">
        <f t="shared" si="3"/>
        <v>244.91635272226361</v>
      </c>
      <c r="O49" s="14">
        <f t="shared" si="4"/>
        <v>0</v>
      </c>
      <c r="P49" s="15">
        <f t="shared" si="5"/>
        <v>-10.897600766108496</v>
      </c>
      <c r="Q49" s="346">
        <f t="shared" si="6"/>
        <v>0.95740028791430321</v>
      </c>
      <c r="R49" s="637"/>
      <c r="S49" s="34"/>
      <c r="T49" s="34"/>
      <c r="U49" s="341"/>
      <c r="V49" s="349"/>
      <c r="W49" s="16"/>
      <c r="X49" s="16"/>
      <c r="Y49" s="24">
        <f>SUM(Y45:Y48)</f>
        <v>0</v>
      </c>
      <c r="Z49" s="24">
        <f>SUM(Z45:Z48)</f>
        <v>0</v>
      </c>
      <c r="AA49" s="628"/>
      <c r="AB49" s="629"/>
      <c r="AC49" s="24">
        <v>4</v>
      </c>
      <c r="AD49" s="24">
        <f>SUM(AD45:AD48)</f>
        <v>0</v>
      </c>
      <c r="AE49" s="14">
        <f t="shared" si="8"/>
        <v>-117.14920823566626</v>
      </c>
      <c r="AF49" s="346">
        <f t="shared" si="9"/>
        <v>0.95740028791430321</v>
      </c>
      <c r="AG49" s="637"/>
    </row>
    <row r="50" spans="1:33" ht="15.75" customHeight="1">
      <c r="A50" s="630" t="s">
        <v>13</v>
      </c>
      <c r="B50" s="29" t="s">
        <v>15</v>
      </c>
      <c r="C50" s="616" t="s">
        <v>46</v>
      </c>
      <c r="D50" s="616"/>
      <c r="E50" s="29">
        <v>56.43</v>
      </c>
      <c r="F50" s="32">
        <v>1271</v>
      </c>
      <c r="G50" s="341">
        <f t="shared" ref="G50:G56" si="35">E50*F50</f>
        <v>71722.53</v>
      </c>
      <c r="H50" s="33" t="s">
        <v>57</v>
      </c>
      <c r="I50" s="348">
        <v>22</v>
      </c>
      <c r="J50" s="31">
        <v>2000</v>
      </c>
      <c r="K50" s="12">
        <f t="shared" si="1"/>
        <v>90.909090909090907</v>
      </c>
      <c r="L50" s="348">
        <v>22</v>
      </c>
      <c r="M50" s="13">
        <f t="shared" ref="M50" si="36">F50/V50*60</f>
        <v>1906.5000000000009</v>
      </c>
      <c r="N50" s="13">
        <f t="shared" si="3"/>
        <v>86.659090909090949</v>
      </c>
      <c r="O50" s="14">
        <f t="shared" si="4"/>
        <v>0</v>
      </c>
      <c r="P50" s="15">
        <f t="shared" si="5"/>
        <v>-4.2499999999999574</v>
      </c>
      <c r="Q50" s="346">
        <f t="shared" si="6"/>
        <v>0.95325000000000049</v>
      </c>
      <c r="R50" s="615">
        <f>Q57</f>
        <v>0.95870895156399372</v>
      </c>
      <c r="S50" s="34">
        <v>0.16666666666666666</v>
      </c>
      <c r="T50" s="34">
        <v>0.19444444444444442</v>
      </c>
      <c r="U50" s="21"/>
      <c r="V50" s="349">
        <f t="shared" ref="V50:V56" si="37">(T50-S50)*24*60</f>
        <v>39.999999999999979</v>
      </c>
      <c r="W50" s="16">
        <f>T50</f>
        <v>0.19444444444444442</v>
      </c>
      <c r="X50" s="16">
        <f>S51</f>
        <v>0.21458333333333332</v>
      </c>
      <c r="Y50" s="21"/>
      <c r="Z50" s="21"/>
      <c r="AA50" s="617"/>
      <c r="AB50" s="617"/>
      <c r="AC50" s="35">
        <v>7</v>
      </c>
      <c r="AD50" s="18"/>
      <c r="AE50" s="14">
        <f t="shared" si="8"/>
        <v>-93.499999999999091</v>
      </c>
      <c r="AF50" s="346">
        <f t="shared" si="9"/>
        <v>0.95325000000000049</v>
      </c>
      <c r="AG50" s="615">
        <f>AF57</f>
        <v>0.95870895156399361</v>
      </c>
    </row>
    <row r="51" spans="1:33" ht="15.75" customHeight="1">
      <c r="A51" s="630" t="s">
        <v>13</v>
      </c>
      <c r="B51" s="29" t="s">
        <v>19</v>
      </c>
      <c r="C51" s="616" t="s">
        <v>81</v>
      </c>
      <c r="D51" s="616"/>
      <c r="E51" s="29">
        <v>46</v>
      </c>
      <c r="F51" s="32">
        <v>2678</v>
      </c>
      <c r="G51" s="341">
        <f t="shared" si="35"/>
        <v>123188</v>
      </c>
      <c r="H51" s="33" t="s">
        <v>57</v>
      </c>
      <c r="I51" s="348">
        <v>16</v>
      </c>
      <c r="J51" s="31">
        <v>2000</v>
      </c>
      <c r="K51" s="12">
        <f t="shared" si="1"/>
        <v>125</v>
      </c>
      <c r="L51" s="348">
        <v>16</v>
      </c>
      <c r="M51" s="13">
        <f>F51/V51*60</f>
        <v>1912.8571428571431</v>
      </c>
      <c r="N51" s="13">
        <f t="shared" si="3"/>
        <v>119.55357142857144</v>
      </c>
      <c r="O51" s="14">
        <f t="shared" si="4"/>
        <v>0</v>
      </c>
      <c r="P51" s="15">
        <f t="shared" si="5"/>
        <v>-5.4464285714285552</v>
      </c>
      <c r="Q51" s="346">
        <f t="shared" si="6"/>
        <v>0.95642857142857152</v>
      </c>
      <c r="R51" s="615"/>
      <c r="S51" s="34">
        <v>0.21458333333333332</v>
      </c>
      <c r="T51" s="34">
        <v>0.27291666666666664</v>
      </c>
      <c r="U51" s="341">
        <f t="shared" ref="U51:U56" si="38">IF(S51=TIME(17,0,0),"",(S51-T50)*24*60)</f>
        <v>29.000000000000018</v>
      </c>
      <c r="V51" s="349">
        <f t="shared" si="37"/>
        <v>83.999999999999986</v>
      </c>
      <c r="W51" s="16"/>
      <c r="X51" s="16"/>
      <c r="Y51" s="16"/>
      <c r="Z51" s="16"/>
      <c r="AA51" s="617"/>
      <c r="AB51" s="617"/>
      <c r="AC51" s="35"/>
      <c r="AD51" s="18"/>
      <c r="AE51" s="14">
        <f t="shared" si="8"/>
        <v>-87.142857142856883</v>
      </c>
      <c r="AF51" s="346">
        <f t="shared" si="9"/>
        <v>0.95642857142857152</v>
      </c>
      <c r="AG51" s="615"/>
    </row>
    <row r="52" spans="1:33" ht="15.75" customHeight="1">
      <c r="A52" s="630" t="s">
        <v>13</v>
      </c>
      <c r="B52" s="29" t="s">
        <v>19</v>
      </c>
      <c r="C52" s="622" t="s">
        <v>945</v>
      </c>
      <c r="D52" s="623"/>
      <c r="E52" s="29">
        <v>46</v>
      </c>
      <c r="F52" s="32">
        <v>3538</v>
      </c>
      <c r="G52" s="341">
        <f t="shared" si="35"/>
        <v>162748</v>
      </c>
      <c r="H52" s="33" t="s">
        <v>57</v>
      </c>
      <c r="I52" s="348">
        <v>17</v>
      </c>
      <c r="J52" s="31">
        <v>2000</v>
      </c>
      <c r="K52" s="12">
        <f t="shared" si="1"/>
        <v>117.64705882352941</v>
      </c>
      <c r="L52" s="348">
        <v>17</v>
      </c>
      <c r="M52" s="13">
        <f t="shared" ref="M52:M56" si="39">F52/V52*60</f>
        <v>1912.4324324324323</v>
      </c>
      <c r="N52" s="13">
        <f t="shared" si="3"/>
        <v>112.49602543720189</v>
      </c>
      <c r="O52" s="14">
        <f t="shared" si="4"/>
        <v>0</v>
      </c>
      <c r="P52" s="15">
        <f t="shared" si="5"/>
        <v>-5.1510333863275122</v>
      </c>
      <c r="Q52" s="346">
        <f t="shared" si="6"/>
        <v>0.95621621621621611</v>
      </c>
      <c r="R52" s="615"/>
      <c r="S52" s="34">
        <v>0.27638888888888885</v>
      </c>
      <c r="T52" s="34">
        <v>0.35347222222222219</v>
      </c>
      <c r="U52" s="341">
        <f t="shared" si="38"/>
        <v>4.9999999999999822</v>
      </c>
      <c r="V52" s="349">
        <f t="shared" si="37"/>
        <v>111</v>
      </c>
      <c r="W52" s="16"/>
      <c r="X52" s="16"/>
      <c r="Y52" s="19"/>
      <c r="Z52" s="19"/>
      <c r="AA52" s="617"/>
      <c r="AB52" s="617"/>
      <c r="AC52" s="35"/>
      <c r="AD52" s="18"/>
      <c r="AE52" s="14">
        <f t="shared" si="8"/>
        <v>-87.567567567567721</v>
      </c>
      <c r="AF52" s="346">
        <f t="shared" si="9"/>
        <v>0.95621621621621611</v>
      </c>
      <c r="AG52" s="615"/>
    </row>
    <row r="53" spans="1:33" ht="15.75" customHeight="1">
      <c r="A53" s="630" t="s">
        <v>13</v>
      </c>
      <c r="B53" s="29" t="s">
        <v>15</v>
      </c>
      <c r="C53" s="342" t="s">
        <v>27</v>
      </c>
      <c r="D53" s="343"/>
      <c r="E53" s="29">
        <v>59.04</v>
      </c>
      <c r="F53" s="32">
        <v>2488</v>
      </c>
      <c r="G53" s="341">
        <f t="shared" si="35"/>
        <v>146891.51999999999</v>
      </c>
      <c r="H53" s="33" t="s">
        <v>57</v>
      </c>
      <c r="I53" s="348">
        <v>19</v>
      </c>
      <c r="J53" s="31">
        <v>2000</v>
      </c>
      <c r="K53" s="12">
        <f t="shared" si="1"/>
        <v>105.26315789473684</v>
      </c>
      <c r="L53" s="348">
        <v>19</v>
      </c>
      <c r="M53" s="13">
        <f t="shared" si="39"/>
        <v>1913.8461538461529</v>
      </c>
      <c r="N53" s="13">
        <f t="shared" si="3"/>
        <v>100.72874493927121</v>
      </c>
      <c r="O53" s="14">
        <f t="shared" si="4"/>
        <v>0</v>
      </c>
      <c r="P53" s="15">
        <f t="shared" si="5"/>
        <v>-4.5344129554656263</v>
      </c>
      <c r="Q53" s="346">
        <f t="shared" si="6"/>
        <v>0.95692307692307654</v>
      </c>
      <c r="R53" s="615"/>
      <c r="S53" s="34">
        <v>0.35902777777777772</v>
      </c>
      <c r="T53" s="34">
        <v>0.41319444444444442</v>
      </c>
      <c r="U53" s="341">
        <f t="shared" si="38"/>
        <v>7.9999999999999716</v>
      </c>
      <c r="V53" s="349">
        <f t="shared" si="37"/>
        <v>78.000000000000043</v>
      </c>
      <c r="W53" s="16"/>
      <c r="X53" s="16"/>
      <c r="Y53" s="19"/>
      <c r="Z53" s="19"/>
      <c r="AA53" s="617"/>
      <c r="AB53" s="617"/>
      <c r="AC53" s="35"/>
      <c r="AD53" s="18"/>
      <c r="AE53" s="14">
        <f t="shared" si="8"/>
        <v>-86.153846153847098</v>
      </c>
      <c r="AF53" s="346">
        <f t="shared" si="9"/>
        <v>0.95692307692307643</v>
      </c>
      <c r="AG53" s="615"/>
    </row>
    <row r="54" spans="1:33" ht="15.75" customHeight="1">
      <c r="A54" s="630" t="s">
        <v>13</v>
      </c>
      <c r="B54" s="29" t="s">
        <v>15</v>
      </c>
      <c r="C54" s="342" t="s">
        <v>48</v>
      </c>
      <c r="D54" s="343"/>
      <c r="E54" s="29">
        <v>55.56</v>
      </c>
      <c r="F54" s="32">
        <v>1643</v>
      </c>
      <c r="G54" s="341">
        <f t="shared" si="35"/>
        <v>91285.08</v>
      </c>
      <c r="H54" s="33" t="s">
        <v>57</v>
      </c>
      <c r="I54" s="348">
        <v>17</v>
      </c>
      <c r="J54" s="31">
        <v>2000</v>
      </c>
      <c r="K54" s="12">
        <f t="shared" si="1"/>
        <v>117.64705882352941</v>
      </c>
      <c r="L54" s="348">
        <v>17</v>
      </c>
      <c r="M54" s="13">
        <f t="shared" si="39"/>
        <v>1932.9411764705892</v>
      </c>
      <c r="N54" s="13">
        <f t="shared" si="3"/>
        <v>113.70242214532878</v>
      </c>
      <c r="O54" s="14">
        <f t="shared" si="4"/>
        <v>0</v>
      </c>
      <c r="P54" s="15">
        <f t="shared" si="5"/>
        <v>-3.9446366782006237</v>
      </c>
      <c r="Q54" s="346">
        <f t="shared" si="6"/>
        <v>0.96647058823529475</v>
      </c>
      <c r="R54" s="615"/>
      <c r="S54" s="34">
        <v>0.70833333333333337</v>
      </c>
      <c r="T54" s="34">
        <v>0.74375000000000002</v>
      </c>
      <c r="U54" s="341" t="str">
        <f t="shared" si="38"/>
        <v/>
      </c>
      <c r="V54" s="349">
        <f t="shared" si="37"/>
        <v>50.999999999999979</v>
      </c>
      <c r="W54" s="16"/>
      <c r="X54" s="16"/>
      <c r="Y54" s="19"/>
      <c r="Z54" s="19"/>
      <c r="AA54" s="617"/>
      <c r="AB54" s="617"/>
      <c r="AC54" s="35"/>
      <c r="AD54" s="18"/>
      <c r="AE54" s="14">
        <f t="shared" si="8"/>
        <v>-67.058823529410802</v>
      </c>
      <c r="AF54" s="346">
        <f t="shared" si="9"/>
        <v>0.96647058823529464</v>
      </c>
      <c r="AG54" s="615"/>
    </row>
    <row r="55" spans="1:33" ht="15.75" customHeight="1">
      <c r="A55" s="630" t="s">
        <v>13</v>
      </c>
      <c r="B55" s="29" t="s">
        <v>15</v>
      </c>
      <c r="C55" s="622" t="s">
        <v>841</v>
      </c>
      <c r="D55" s="623"/>
      <c r="E55" s="29">
        <v>54.09</v>
      </c>
      <c r="F55" s="32">
        <v>1644</v>
      </c>
      <c r="G55" s="341">
        <f t="shared" si="35"/>
        <v>88923.96</v>
      </c>
      <c r="H55" s="33" t="s">
        <v>57</v>
      </c>
      <c r="I55" s="348">
        <v>13</v>
      </c>
      <c r="J55" s="31">
        <v>2000</v>
      </c>
      <c r="K55" s="12">
        <f t="shared" si="1"/>
        <v>153.84615384615384</v>
      </c>
      <c r="L55" s="348">
        <v>13</v>
      </c>
      <c r="M55" s="13">
        <f t="shared" si="39"/>
        <v>1934.1176470588243</v>
      </c>
      <c r="N55" s="13">
        <f t="shared" si="3"/>
        <v>148.77828054298649</v>
      </c>
      <c r="O55" s="14">
        <f t="shared" si="4"/>
        <v>0</v>
      </c>
      <c r="P55" s="15">
        <f t="shared" si="5"/>
        <v>-5.067873303167346</v>
      </c>
      <c r="Q55" s="346">
        <f t="shared" si="6"/>
        <v>0.9670588235294123</v>
      </c>
      <c r="R55" s="615"/>
      <c r="S55" s="34">
        <v>0.74861111111111112</v>
      </c>
      <c r="T55" s="34">
        <v>0.78402777777777777</v>
      </c>
      <c r="U55" s="341">
        <f t="shared" si="38"/>
        <v>6.9999999999999751</v>
      </c>
      <c r="V55" s="349">
        <f t="shared" si="37"/>
        <v>50.999999999999979</v>
      </c>
      <c r="W55" s="16"/>
      <c r="X55" s="16"/>
      <c r="Y55" s="19"/>
      <c r="Z55" s="19"/>
      <c r="AA55" s="624"/>
      <c r="AB55" s="625"/>
      <c r="AC55" s="35"/>
      <c r="AD55" s="18"/>
      <c r="AE55" s="14">
        <f t="shared" si="8"/>
        <v>-65.882352941175668</v>
      </c>
      <c r="AF55" s="346">
        <f t="shared" si="9"/>
        <v>0.96705882352941219</v>
      </c>
      <c r="AG55" s="615"/>
    </row>
    <row r="56" spans="1:33" ht="15.75" customHeight="1">
      <c r="A56" s="630" t="s">
        <v>13</v>
      </c>
      <c r="B56" s="29" t="s">
        <v>15</v>
      </c>
      <c r="C56" s="622" t="s">
        <v>85</v>
      </c>
      <c r="D56" s="623"/>
      <c r="E56" s="29">
        <v>56.43</v>
      </c>
      <c r="F56" s="32">
        <v>1241</v>
      </c>
      <c r="G56" s="341">
        <f t="shared" si="35"/>
        <v>70029.63</v>
      </c>
      <c r="H56" s="33" t="s">
        <v>57</v>
      </c>
      <c r="I56" s="348">
        <v>13</v>
      </c>
      <c r="J56" s="31">
        <v>2000</v>
      </c>
      <c r="K56" s="12">
        <f t="shared" si="1"/>
        <v>153.84615384615384</v>
      </c>
      <c r="L56" s="348">
        <v>13</v>
      </c>
      <c r="M56" s="13">
        <f t="shared" si="39"/>
        <v>1909.2307692307681</v>
      </c>
      <c r="N56" s="13">
        <f t="shared" si="3"/>
        <v>146.86390532544371</v>
      </c>
      <c r="O56" s="14">
        <f t="shared" si="4"/>
        <v>0</v>
      </c>
      <c r="P56" s="15">
        <f t="shared" si="5"/>
        <v>-6.9822485207101295</v>
      </c>
      <c r="Q56" s="346">
        <f t="shared" si="6"/>
        <v>0.9546153846153842</v>
      </c>
      <c r="R56" s="615"/>
      <c r="S56" s="34">
        <v>0.78888888888888886</v>
      </c>
      <c r="T56" s="34">
        <v>0.81597222222222221</v>
      </c>
      <c r="U56" s="341">
        <f t="shared" si="38"/>
        <v>6.9999999999999751</v>
      </c>
      <c r="V56" s="349">
        <f t="shared" si="37"/>
        <v>39.000000000000021</v>
      </c>
      <c r="W56" s="16"/>
      <c r="X56" s="16"/>
      <c r="Y56" s="19"/>
      <c r="Z56" s="19"/>
      <c r="AA56" s="624"/>
      <c r="AB56" s="625"/>
      <c r="AC56" s="35"/>
      <c r="AD56" s="18"/>
      <c r="AE56" s="14">
        <f t="shared" si="8"/>
        <v>-90.769230769231854</v>
      </c>
      <c r="AF56" s="346">
        <f t="shared" si="9"/>
        <v>0.95461538461538409</v>
      </c>
      <c r="AG56" s="615"/>
    </row>
    <row r="57" spans="1:33">
      <c r="A57" s="631" t="s">
        <v>13</v>
      </c>
      <c r="B57" s="29" t="s">
        <v>6</v>
      </c>
      <c r="C57" s="618"/>
      <c r="D57" s="618"/>
      <c r="E57" s="347"/>
      <c r="F57" s="30"/>
      <c r="G57" s="12"/>
      <c r="H57" s="350"/>
      <c r="I57" s="23">
        <v>16.714285714285715</v>
      </c>
      <c r="J57" s="31">
        <v>2000</v>
      </c>
      <c r="K57" s="12">
        <f t="shared" si="1"/>
        <v>119.65811965811965</v>
      </c>
      <c r="L57" s="23">
        <v>16.714285714285715</v>
      </c>
      <c r="M57" s="13">
        <f>AVERAGE(M50:M56)</f>
        <v>1917.4179031279873</v>
      </c>
      <c r="N57" s="12">
        <f t="shared" si="3"/>
        <v>114.71731044355479</v>
      </c>
      <c r="O57" s="14">
        <f t="shared" si="4"/>
        <v>0</v>
      </c>
      <c r="P57" s="15">
        <f t="shared" si="5"/>
        <v>-4.940809214564851</v>
      </c>
      <c r="Q57" s="346">
        <f t="shared" si="6"/>
        <v>0.95870895156399372</v>
      </c>
      <c r="R57" s="615"/>
      <c r="S57" s="34"/>
      <c r="T57" s="34"/>
      <c r="U57" s="341"/>
      <c r="V57" s="349"/>
      <c r="W57" s="12"/>
      <c r="X57" s="12"/>
      <c r="Y57" s="24">
        <f>SUM(Y50:Y56)</f>
        <v>0</v>
      </c>
      <c r="Z57" s="24">
        <f>SUM(Z50:Z56)</f>
        <v>0</v>
      </c>
      <c r="AA57" s="614"/>
      <c r="AB57" s="614"/>
      <c r="AC57" s="24">
        <v>7</v>
      </c>
      <c r="AD57" s="24">
        <f>SUM(AD50:AD56)</f>
        <v>0</v>
      </c>
      <c r="AE57" s="14">
        <f>M57-J57</f>
        <v>-82.582096872012698</v>
      </c>
      <c r="AF57" s="346">
        <f t="shared" si="9"/>
        <v>0.95870895156399361</v>
      </c>
      <c r="AG57" s="615"/>
    </row>
    <row r="58" spans="1:33" ht="15.75" customHeight="1">
      <c r="A58" s="626" t="s">
        <v>182</v>
      </c>
      <c r="B58" s="350" t="s">
        <v>40</v>
      </c>
      <c r="C58" s="616" t="s">
        <v>49</v>
      </c>
      <c r="D58" s="616"/>
      <c r="E58" s="29">
        <v>34.36</v>
      </c>
      <c r="F58" s="32">
        <v>2022</v>
      </c>
      <c r="G58" s="341">
        <f t="shared" ref="G58:G62" si="40">E58*F58</f>
        <v>69475.92</v>
      </c>
      <c r="H58" s="33" t="s">
        <v>57</v>
      </c>
      <c r="I58" s="348">
        <v>10</v>
      </c>
      <c r="J58" s="31">
        <v>3000</v>
      </c>
      <c r="K58" s="12">
        <f t="shared" si="1"/>
        <v>300</v>
      </c>
      <c r="L58" s="348">
        <v>10</v>
      </c>
      <c r="M58" s="13">
        <f t="shared" ref="M58:M62" si="41">F58/V58*60</f>
        <v>2888.5714285714275</v>
      </c>
      <c r="N58" s="12">
        <f t="shared" si="3"/>
        <v>288.85714285714278</v>
      </c>
      <c r="O58" s="14">
        <f t="shared" si="4"/>
        <v>0</v>
      </c>
      <c r="P58" s="15">
        <f t="shared" si="5"/>
        <v>-11.142857142857224</v>
      </c>
      <c r="Q58" s="346">
        <f t="shared" si="6"/>
        <v>0.96285714285714263</v>
      </c>
      <c r="R58" s="615">
        <f>Q63</f>
        <v>0.96910651629072719</v>
      </c>
      <c r="S58" s="34">
        <v>0.20833333333333334</v>
      </c>
      <c r="T58" s="34">
        <v>0.23750000000000002</v>
      </c>
      <c r="U58" s="341"/>
      <c r="V58" s="349">
        <f t="shared" ref="V58:V62" si="42">(T58-S58)*24*60</f>
        <v>42.000000000000014</v>
      </c>
      <c r="W58" s="16"/>
      <c r="X58" s="16"/>
      <c r="Y58" s="21"/>
      <c r="Z58" s="21"/>
      <c r="AA58" s="617"/>
      <c r="AB58" s="617"/>
      <c r="AC58" s="35">
        <v>5</v>
      </c>
      <c r="AD58" s="18"/>
      <c r="AE58" s="14">
        <f t="shared" ref="AE58:AE70" si="43">M58-J58</f>
        <v>-111.42857142857247</v>
      </c>
      <c r="AF58" s="346">
        <f t="shared" si="9"/>
        <v>0.96285714285714252</v>
      </c>
      <c r="AG58" s="615">
        <f>AF63</f>
        <v>0.96910651629072719</v>
      </c>
    </row>
    <row r="59" spans="1:33" ht="15.75" customHeight="1">
      <c r="A59" s="626" t="s">
        <v>182</v>
      </c>
      <c r="B59" s="350" t="s">
        <v>40</v>
      </c>
      <c r="C59" s="616" t="s">
        <v>50</v>
      </c>
      <c r="D59" s="616"/>
      <c r="E59" s="29">
        <v>34.36</v>
      </c>
      <c r="F59" s="32">
        <v>1089</v>
      </c>
      <c r="G59" s="341">
        <f t="shared" si="40"/>
        <v>37418.04</v>
      </c>
      <c r="H59" s="33" t="s">
        <v>57</v>
      </c>
      <c r="I59" s="348">
        <v>10</v>
      </c>
      <c r="J59" s="31">
        <v>3000</v>
      </c>
      <c r="K59" s="12">
        <f t="shared" si="1"/>
        <v>300</v>
      </c>
      <c r="L59" s="348">
        <v>10</v>
      </c>
      <c r="M59" s="13">
        <f t="shared" si="41"/>
        <v>2970.000000000005</v>
      </c>
      <c r="N59" s="12">
        <f t="shared" si="3"/>
        <v>297.00000000000051</v>
      </c>
      <c r="O59" s="14">
        <f t="shared" si="4"/>
        <v>0</v>
      </c>
      <c r="P59" s="15">
        <f t="shared" si="5"/>
        <v>-2.9999999999994884</v>
      </c>
      <c r="Q59" s="346">
        <f t="shared" si="6"/>
        <v>0.99000000000000166</v>
      </c>
      <c r="R59" s="615"/>
      <c r="S59" s="34">
        <v>0.24097222222222223</v>
      </c>
      <c r="T59" s="34">
        <v>0.25624999999999998</v>
      </c>
      <c r="U59" s="341">
        <f t="shared" ref="U59:U62" si="44">(S59-T58)*24*60</f>
        <v>4.9999999999999822</v>
      </c>
      <c r="V59" s="349">
        <f t="shared" si="42"/>
        <v>21.999999999999961</v>
      </c>
      <c r="W59" s="341"/>
      <c r="X59" s="341"/>
      <c r="Y59" s="341"/>
      <c r="Z59" s="341"/>
      <c r="AA59" s="617"/>
      <c r="AB59" s="617"/>
      <c r="AC59" s="35"/>
      <c r="AD59" s="18"/>
      <c r="AE59" s="14">
        <f t="shared" si="43"/>
        <v>-29.999999999994998</v>
      </c>
      <c r="AF59" s="346">
        <f t="shared" si="9"/>
        <v>0.99000000000000166</v>
      </c>
      <c r="AG59" s="615"/>
    </row>
    <row r="60" spans="1:33" ht="15.75" customHeight="1">
      <c r="A60" s="626" t="s">
        <v>182</v>
      </c>
      <c r="B60" s="350" t="s">
        <v>40</v>
      </c>
      <c r="C60" s="616" t="s">
        <v>51</v>
      </c>
      <c r="D60" s="616"/>
      <c r="E60" s="29">
        <v>26.78</v>
      </c>
      <c r="F60" s="32">
        <v>2330</v>
      </c>
      <c r="G60" s="341">
        <f t="shared" si="40"/>
        <v>62397.4</v>
      </c>
      <c r="H60" s="33" t="s">
        <v>57</v>
      </c>
      <c r="I60" s="348">
        <v>10</v>
      </c>
      <c r="J60" s="31">
        <v>3000</v>
      </c>
      <c r="K60" s="12">
        <f t="shared" si="1"/>
        <v>300</v>
      </c>
      <c r="L60" s="348">
        <v>10</v>
      </c>
      <c r="M60" s="13">
        <f t="shared" si="41"/>
        <v>2912.5000000000009</v>
      </c>
      <c r="N60" s="12">
        <f t="shared" si="3"/>
        <v>291.25000000000011</v>
      </c>
      <c r="O60" s="14">
        <f t="shared" si="4"/>
        <v>0</v>
      </c>
      <c r="P60" s="15">
        <f t="shared" si="5"/>
        <v>-8.7499999999998863</v>
      </c>
      <c r="Q60" s="346">
        <f t="shared" si="6"/>
        <v>0.97083333333333366</v>
      </c>
      <c r="R60" s="615"/>
      <c r="S60" s="34">
        <v>0.26180555555555551</v>
      </c>
      <c r="T60" s="34">
        <v>0.29513888888888884</v>
      </c>
      <c r="U60" s="341">
        <f t="shared" si="44"/>
        <v>7.9999999999999716</v>
      </c>
      <c r="V60" s="349">
        <f t="shared" si="42"/>
        <v>47.999999999999986</v>
      </c>
      <c r="W60" s="341"/>
      <c r="X60" s="341"/>
      <c r="Y60" s="341"/>
      <c r="Z60" s="341"/>
      <c r="AA60" s="617"/>
      <c r="AB60" s="617"/>
      <c r="AC60" s="35"/>
      <c r="AD60" s="18"/>
      <c r="AE60" s="14">
        <f t="shared" si="43"/>
        <v>-87.499999999999091</v>
      </c>
      <c r="AF60" s="346">
        <f t="shared" si="9"/>
        <v>0.97083333333333366</v>
      </c>
      <c r="AG60" s="615"/>
    </row>
    <row r="61" spans="1:33" ht="15.75" customHeight="1">
      <c r="A61" s="626" t="s">
        <v>182</v>
      </c>
      <c r="B61" s="350" t="s">
        <v>40</v>
      </c>
      <c r="C61" s="616" t="s">
        <v>52</v>
      </c>
      <c r="D61" s="616"/>
      <c r="E61" s="29">
        <v>35.869999999999997</v>
      </c>
      <c r="F61" s="32">
        <v>3647</v>
      </c>
      <c r="G61" s="341">
        <f t="shared" si="40"/>
        <v>130817.88999999998</v>
      </c>
      <c r="H61" s="33" t="s">
        <v>57</v>
      </c>
      <c r="I61" s="348">
        <v>9</v>
      </c>
      <c r="J61" s="31">
        <v>3000</v>
      </c>
      <c r="K61" s="12">
        <f t="shared" si="1"/>
        <v>333.33333333333331</v>
      </c>
      <c r="L61" s="348">
        <v>9</v>
      </c>
      <c r="M61" s="13">
        <f t="shared" si="41"/>
        <v>2879.210526315791</v>
      </c>
      <c r="N61" s="12">
        <f t="shared" si="3"/>
        <v>319.91228070175453</v>
      </c>
      <c r="O61" s="14">
        <f t="shared" si="4"/>
        <v>0</v>
      </c>
      <c r="P61" s="15">
        <f t="shared" si="5"/>
        <v>-13.421052631578789</v>
      </c>
      <c r="Q61" s="346">
        <f t="shared" si="6"/>
        <v>0.95973684210526367</v>
      </c>
      <c r="R61" s="615"/>
      <c r="S61" s="34">
        <v>0.30069444444444438</v>
      </c>
      <c r="T61" s="34">
        <v>0.35347222222222213</v>
      </c>
      <c r="U61" s="341">
        <f t="shared" si="44"/>
        <v>7.9999999999999716</v>
      </c>
      <c r="V61" s="349">
        <f t="shared" si="42"/>
        <v>75.999999999999972</v>
      </c>
      <c r="W61" s="341"/>
      <c r="X61" s="341"/>
      <c r="Y61" s="341"/>
      <c r="Z61" s="341"/>
      <c r="AA61" s="617"/>
      <c r="AB61" s="617"/>
      <c r="AC61" s="35"/>
      <c r="AD61" s="18"/>
      <c r="AE61" s="14">
        <f t="shared" si="43"/>
        <v>-120.78947368420904</v>
      </c>
      <c r="AF61" s="346">
        <f t="shared" si="9"/>
        <v>0.95973684210526367</v>
      </c>
      <c r="AG61" s="615"/>
    </row>
    <row r="62" spans="1:33">
      <c r="A62" s="627" t="s">
        <v>182</v>
      </c>
      <c r="B62" s="350" t="s">
        <v>40</v>
      </c>
      <c r="C62" s="616" t="s">
        <v>53</v>
      </c>
      <c r="D62" s="616"/>
      <c r="E62" s="29">
        <v>34.35</v>
      </c>
      <c r="F62" s="32">
        <v>1828</v>
      </c>
      <c r="G62" s="341">
        <f t="shared" si="40"/>
        <v>62791.8</v>
      </c>
      <c r="H62" s="33" t="s">
        <v>57</v>
      </c>
      <c r="I62" s="348">
        <v>8</v>
      </c>
      <c r="J62" s="31">
        <v>3000</v>
      </c>
      <c r="K62" s="12">
        <f t="shared" si="1"/>
        <v>375</v>
      </c>
      <c r="L62" s="348">
        <v>8</v>
      </c>
      <c r="M62" s="13">
        <f t="shared" si="41"/>
        <v>2886.3157894736823</v>
      </c>
      <c r="N62" s="12">
        <f t="shared" si="3"/>
        <v>360.78947368421029</v>
      </c>
      <c r="O62" s="14">
        <f t="shared" si="4"/>
        <v>0</v>
      </c>
      <c r="P62" s="15">
        <f t="shared" si="5"/>
        <v>-14.210526315789707</v>
      </c>
      <c r="Q62" s="346">
        <f t="shared" si="6"/>
        <v>0.96210526315789413</v>
      </c>
      <c r="R62" s="615"/>
      <c r="S62" s="34">
        <v>0.35833333333333323</v>
      </c>
      <c r="T62" s="34">
        <v>0.38472222222222213</v>
      </c>
      <c r="U62" s="341">
        <f t="shared" si="44"/>
        <v>6.9999999999999751</v>
      </c>
      <c r="V62" s="349">
        <f t="shared" si="42"/>
        <v>38.000000000000028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-113.68421052631766</v>
      </c>
      <c r="AF62" s="346">
        <f t="shared" si="9"/>
        <v>0.96210526315789413</v>
      </c>
      <c r="AG62" s="615"/>
    </row>
    <row r="63" spans="1:33">
      <c r="A63" s="627" t="s">
        <v>182</v>
      </c>
      <c r="B63" s="29" t="s">
        <v>6</v>
      </c>
      <c r="C63" s="618"/>
      <c r="D63" s="618"/>
      <c r="E63" s="347"/>
      <c r="F63" s="30"/>
      <c r="G63" s="12"/>
      <c r="H63" s="350"/>
      <c r="I63" s="23">
        <v>9.4</v>
      </c>
      <c r="J63" s="31">
        <v>3000</v>
      </c>
      <c r="K63" s="12">
        <f t="shared" si="1"/>
        <v>319.14893617021278</v>
      </c>
      <c r="L63" s="23">
        <v>9.4</v>
      </c>
      <c r="M63" s="13">
        <f>AVERAGE(M58:M62)</f>
        <v>2907.3195488721817</v>
      </c>
      <c r="N63" s="12">
        <f t="shared" si="3"/>
        <v>309.28931370980655</v>
      </c>
      <c r="O63" s="14">
        <f t="shared" si="4"/>
        <v>0</v>
      </c>
      <c r="P63" s="15">
        <f t="shared" si="5"/>
        <v>-9.8596224604062286</v>
      </c>
      <c r="Q63" s="346">
        <f t="shared" si="6"/>
        <v>0.96910651629072719</v>
      </c>
      <c r="R63" s="615"/>
      <c r="S63" s="34"/>
      <c r="T63" s="34"/>
      <c r="U63" s="12"/>
      <c r="V63" s="349"/>
      <c r="W63" s="12"/>
      <c r="X63" s="12"/>
      <c r="Y63" s="24">
        <f>SUM(Y58:Y62)</f>
        <v>0</v>
      </c>
      <c r="Z63" s="24">
        <f>SUM(Z58:Z62)</f>
        <v>0</v>
      </c>
      <c r="AA63" s="614"/>
      <c r="AB63" s="614"/>
      <c r="AC63" s="24">
        <v>5</v>
      </c>
      <c r="AD63" s="24">
        <f>SUM(AD58:AD62)</f>
        <v>0</v>
      </c>
      <c r="AE63" s="14">
        <f t="shared" si="43"/>
        <v>-92.680451127818287</v>
      </c>
      <c r="AF63" s="346">
        <f t="shared" si="9"/>
        <v>0.96910651629072719</v>
      </c>
      <c r="AG63" s="615"/>
    </row>
    <row r="64" spans="1:33" ht="15.75" customHeight="1">
      <c r="A64" s="619" t="s">
        <v>14</v>
      </c>
      <c r="B64" s="350" t="s">
        <v>32</v>
      </c>
      <c r="C64" s="616" t="s">
        <v>56</v>
      </c>
      <c r="D64" s="616"/>
      <c r="E64" s="29">
        <v>19.02</v>
      </c>
      <c r="F64" s="350">
        <v>5500</v>
      </c>
      <c r="G64" s="341">
        <f t="shared" ref="G64:G69" si="45">E64*F64</f>
        <v>104610</v>
      </c>
      <c r="H64" s="33">
        <v>2</v>
      </c>
      <c r="I64" s="348">
        <v>14</v>
      </c>
      <c r="J64" s="31">
        <v>2400</v>
      </c>
      <c r="K64" s="12">
        <f t="shared" si="1"/>
        <v>171.42857142857142</v>
      </c>
      <c r="L64" s="348">
        <v>14</v>
      </c>
      <c r="M64" s="13">
        <f t="shared" ref="M64:M69" si="46">F64/V64*60</f>
        <v>2291.6666666666665</v>
      </c>
      <c r="N64" s="12">
        <f t="shared" si="3"/>
        <v>163.69047619047618</v>
      </c>
      <c r="O64" s="14">
        <f t="shared" si="4"/>
        <v>0</v>
      </c>
      <c r="P64" s="15">
        <f t="shared" si="5"/>
        <v>-7.7380952380952408</v>
      </c>
      <c r="Q64" s="346">
        <f t="shared" si="6"/>
        <v>0.95486111111111105</v>
      </c>
      <c r="R64" s="615">
        <f>Q70</f>
        <v>0.95620809306613586</v>
      </c>
      <c r="S64" s="34">
        <v>8.3333333333333329E-2</v>
      </c>
      <c r="T64" s="34">
        <v>0.18333333333333332</v>
      </c>
      <c r="U64" s="21"/>
      <c r="V64" s="349">
        <f t="shared" ref="V64:V69" si="47">(T64-S64)*24*60</f>
        <v>144</v>
      </c>
      <c r="W64" s="16">
        <f>T64</f>
        <v>0.18333333333333332</v>
      </c>
      <c r="X64" s="16">
        <f>S65</f>
        <v>0.20347222222222222</v>
      </c>
      <c r="Y64" s="16"/>
      <c r="Z64" s="16"/>
      <c r="AA64" s="617"/>
      <c r="AB64" s="617"/>
      <c r="AC64" s="35">
        <v>6</v>
      </c>
      <c r="AD64" s="18"/>
      <c r="AE64" s="14">
        <f t="shared" si="43"/>
        <v>-108.33333333333348</v>
      </c>
      <c r="AF64" s="346">
        <f t="shared" si="9"/>
        <v>0.95486111111111105</v>
      </c>
      <c r="AG64" s="615">
        <f>AF70</f>
        <v>0.95620809306613586</v>
      </c>
    </row>
    <row r="65" spans="1:33" ht="15.75" customHeight="1">
      <c r="A65" s="620" t="s">
        <v>14</v>
      </c>
      <c r="B65" s="350" t="s">
        <v>32</v>
      </c>
      <c r="C65" s="616" t="s">
        <v>36</v>
      </c>
      <c r="D65" s="616"/>
      <c r="E65" s="29">
        <v>20.36</v>
      </c>
      <c r="F65" s="350">
        <v>4282</v>
      </c>
      <c r="G65" s="341">
        <f t="shared" si="45"/>
        <v>87181.52</v>
      </c>
      <c r="H65" s="33" t="s">
        <v>57</v>
      </c>
      <c r="I65" s="348">
        <v>17</v>
      </c>
      <c r="J65" s="31">
        <v>2400</v>
      </c>
      <c r="K65" s="12">
        <f t="shared" si="1"/>
        <v>141.1764705882353</v>
      </c>
      <c r="L65" s="348">
        <v>17</v>
      </c>
      <c r="M65" s="13">
        <f t="shared" si="46"/>
        <v>2293.9285714285711</v>
      </c>
      <c r="N65" s="12">
        <f t="shared" si="3"/>
        <v>134.93697478991595</v>
      </c>
      <c r="O65" s="14">
        <f t="shared" si="4"/>
        <v>0</v>
      </c>
      <c r="P65" s="15">
        <f t="shared" si="5"/>
        <v>-6.2394957983193535</v>
      </c>
      <c r="Q65" s="346">
        <f t="shared" si="6"/>
        <v>0.9558035714285712</v>
      </c>
      <c r="R65" s="615"/>
      <c r="S65" s="34">
        <v>0.20347222222222222</v>
      </c>
      <c r="T65" s="34">
        <v>0.28125</v>
      </c>
      <c r="U65" s="341">
        <f t="shared" ref="U65:U69" si="48">(S65-T64)*24*60</f>
        <v>29.000000000000018</v>
      </c>
      <c r="V65" s="349">
        <f t="shared" si="47"/>
        <v>112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-106.0714285714289</v>
      </c>
      <c r="AF65" s="346">
        <f t="shared" si="9"/>
        <v>0.95580357142857131</v>
      </c>
      <c r="AG65" s="615"/>
    </row>
    <row r="66" spans="1:33" ht="15.75" customHeight="1">
      <c r="A66" s="620" t="s">
        <v>14</v>
      </c>
      <c r="B66" s="350" t="s">
        <v>32</v>
      </c>
      <c r="C66" s="616" t="s">
        <v>54</v>
      </c>
      <c r="D66" s="616"/>
      <c r="E66" s="29">
        <v>20.21</v>
      </c>
      <c r="F66" s="350">
        <v>2955</v>
      </c>
      <c r="G66" s="341">
        <f t="shared" si="45"/>
        <v>59720.55</v>
      </c>
      <c r="H66" s="33" t="s">
        <v>57</v>
      </c>
      <c r="I66" s="348">
        <v>15</v>
      </c>
      <c r="J66" s="31">
        <v>2400</v>
      </c>
      <c r="K66" s="12">
        <f t="shared" si="1"/>
        <v>160</v>
      </c>
      <c r="L66" s="348">
        <v>15</v>
      </c>
      <c r="M66" s="13">
        <f t="shared" si="46"/>
        <v>2302.5974025974015</v>
      </c>
      <c r="N66" s="12">
        <f t="shared" si="3"/>
        <v>153.50649350649343</v>
      </c>
      <c r="O66" s="14">
        <f t="shared" si="4"/>
        <v>0</v>
      </c>
      <c r="P66" s="15">
        <f t="shared" si="5"/>
        <v>-6.4935064935065725</v>
      </c>
      <c r="Q66" s="346">
        <f t="shared" si="6"/>
        <v>0.95941558441558394</v>
      </c>
      <c r="R66" s="615"/>
      <c r="S66" s="34">
        <v>0.28472222222222221</v>
      </c>
      <c r="T66" s="34">
        <v>0.33819444444444446</v>
      </c>
      <c r="U66" s="341">
        <f t="shared" si="48"/>
        <v>4.9999999999999822</v>
      </c>
      <c r="V66" s="349">
        <f t="shared" si="47"/>
        <v>77.000000000000043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-97.402597402598531</v>
      </c>
      <c r="AF66" s="346">
        <f t="shared" si="9"/>
        <v>0.95941558441558394</v>
      </c>
      <c r="AG66" s="615"/>
    </row>
    <row r="67" spans="1:33" ht="15.75" customHeight="1">
      <c r="A67" s="620" t="s">
        <v>14</v>
      </c>
      <c r="B67" s="350" t="s">
        <v>32</v>
      </c>
      <c r="C67" s="616" t="s">
        <v>55</v>
      </c>
      <c r="D67" s="616"/>
      <c r="E67" s="29">
        <v>22.69</v>
      </c>
      <c r="F67" s="350">
        <v>3285</v>
      </c>
      <c r="G67" s="341">
        <f t="shared" si="45"/>
        <v>74536.650000000009</v>
      </c>
      <c r="H67" s="33" t="s">
        <v>57</v>
      </c>
      <c r="I67" s="348">
        <v>15</v>
      </c>
      <c r="J67" s="31">
        <v>2400</v>
      </c>
      <c r="K67" s="12">
        <f t="shared" si="1"/>
        <v>160</v>
      </c>
      <c r="L67" s="348">
        <v>15</v>
      </c>
      <c r="M67" s="13">
        <f t="shared" si="46"/>
        <v>2291.8604651162786</v>
      </c>
      <c r="N67" s="12">
        <f t="shared" si="3"/>
        <v>152.79069767441857</v>
      </c>
      <c r="O67" s="14">
        <f t="shared" si="4"/>
        <v>0</v>
      </c>
      <c r="P67" s="15">
        <f t="shared" si="5"/>
        <v>-7.209302325581433</v>
      </c>
      <c r="Q67" s="346">
        <f t="shared" si="6"/>
        <v>0.95494186046511609</v>
      </c>
      <c r="R67" s="615"/>
      <c r="S67" s="34">
        <v>0.34375</v>
      </c>
      <c r="T67" s="34">
        <v>0.40347222222222223</v>
      </c>
      <c r="U67" s="341">
        <f t="shared" si="48"/>
        <v>7.9999999999999716</v>
      </c>
      <c r="V67" s="349">
        <f t="shared" si="47"/>
        <v>86.000000000000014</v>
      </c>
      <c r="W67" s="16"/>
      <c r="X67" s="16"/>
      <c r="Y67" s="16"/>
      <c r="Z67" s="16"/>
      <c r="AA67" s="617"/>
      <c r="AB67" s="617"/>
      <c r="AC67" s="35"/>
      <c r="AD67" s="18"/>
      <c r="AE67" s="14">
        <f t="shared" si="43"/>
        <v>-108.13953488372135</v>
      </c>
      <c r="AF67" s="346">
        <f t="shared" si="9"/>
        <v>0.95494186046511609</v>
      </c>
      <c r="AG67" s="615"/>
    </row>
    <row r="68" spans="1:33" ht="15.75" customHeight="1">
      <c r="A68" s="620" t="s">
        <v>14</v>
      </c>
      <c r="B68" s="350" t="s">
        <v>32</v>
      </c>
      <c r="C68" s="616" t="s">
        <v>949</v>
      </c>
      <c r="D68" s="616"/>
      <c r="E68" s="29">
        <v>25.98</v>
      </c>
      <c r="F68" s="350">
        <v>5039</v>
      </c>
      <c r="G68" s="341">
        <f t="shared" si="45"/>
        <v>130913.22</v>
      </c>
      <c r="H68" s="33" t="s">
        <v>57</v>
      </c>
      <c r="I68" s="348">
        <v>17</v>
      </c>
      <c r="J68" s="31">
        <v>2400</v>
      </c>
      <c r="K68" s="12">
        <f t="shared" si="1"/>
        <v>141.1764705882353</v>
      </c>
      <c r="L68" s="348">
        <v>17</v>
      </c>
      <c r="M68" s="13">
        <f t="shared" si="46"/>
        <v>2290.4545454545455</v>
      </c>
      <c r="N68" s="12">
        <f t="shared" si="3"/>
        <v>134.73262032085563</v>
      </c>
      <c r="O68" s="14">
        <f t="shared" si="4"/>
        <v>0</v>
      </c>
      <c r="P68" s="15">
        <f t="shared" si="5"/>
        <v>-6.4438502673796734</v>
      </c>
      <c r="Q68" s="346">
        <f t="shared" si="6"/>
        <v>0.9543560606060606</v>
      </c>
      <c r="R68" s="615"/>
      <c r="S68" s="34">
        <v>0.40902777777777777</v>
      </c>
      <c r="T68" s="34">
        <v>0.50069444444444444</v>
      </c>
      <c r="U68" s="341">
        <f t="shared" si="48"/>
        <v>7.9999999999999716</v>
      </c>
      <c r="V68" s="349">
        <f t="shared" si="47"/>
        <v>132</v>
      </c>
      <c r="W68" s="16">
        <f>T68</f>
        <v>0.50069444444444444</v>
      </c>
      <c r="X68" s="16">
        <f>S69</f>
        <v>0.5395833333333333</v>
      </c>
      <c r="Y68" s="16"/>
      <c r="Z68" s="16"/>
      <c r="AA68" s="617"/>
      <c r="AB68" s="617"/>
      <c r="AC68" s="35"/>
      <c r="AD68" s="18"/>
      <c r="AE68" s="14">
        <f t="shared" si="43"/>
        <v>-109.5454545454545</v>
      </c>
      <c r="AF68" s="346">
        <f t="shared" si="9"/>
        <v>0.9543560606060606</v>
      </c>
      <c r="AG68" s="615"/>
    </row>
    <row r="69" spans="1:33" ht="15.75" customHeight="1">
      <c r="A69" s="620" t="s">
        <v>14</v>
      </c>
      <c r="B69" s="350" t="s">
        <v>32</v>
      </c>
      <c r="C69" s="616" t="s">
        <v>56</v>
      </c>
      <c r="D69" s="616"/>
      <c r="E69" s="29">
        <v>19.02</v>
      </c>
      <c r="F69" s="350">
        <v>4138</v>
      </c>
      <c r="G69" s="341">
        <f t="shared" si="45"/>
        <v>78704.759999999995</v>
      </c>
      <c r="H69" s="33" t="s">
        <v>57</v>
      </c>
      <c r="I69" s="348">
        <v>14</v>
      </c>
      <c r="J69" s="31">
        <v>2400</v>
      </c>
      <c r="K69" s="12">
        <f t="shared" ref="K69:K70" si="49">J69/I69</f>
        <v>171.42857142857142</v>
      </c>
      <c r="L69" s="348">
        <v>14</v>
      </c>
      <c r="M69" s="13">
        <f t="shared" si="46"/>
        <v>2298.8888888888905</v>
      </c>
      <c r="N69" s="12">
        <f t="shared" ref="N69:N70" si="50">M69/L69</f>
        <v>164.20634920634933</v>
      </c>
      <c r="O69" s="14">
        <f t="shared" ref="O69:O70" si="51">L69-I69</f>
        <v>0</v>
      </c>
      <c r="P69" s="15">
        <f t="shared" ref="P69:P70" si="52">N69-K69</f>
        <v>-7.2222222222220864</v>
      </c>
      <c r="Q69" s="346">
        <f t="shared" ref="Q69:Q70" si="53">N69/K69</f>
        <v>0.95787037037037115</v>
      </c>
      <c r="R69" s="615"/>
      <c r="S69" s="34">
        <v>0.5395833333333333</v>
      </c>
      <c r="T69" s="34">
        <v>0.61458333333333326</v>
      </c>
      <c r="U69" s="341">
        <f t="shared" si="48"/>
        <v>55.999999999999957</v>
      </c>
      <c r="V69" s="349">
        <f t="shared" si="47"/>
        <v>107.99999999999994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-101.11111111110949</v>
      </c>
      <c r="AF69" s="346">
        <f t="shared" ref="AF69:AF70" si="54">M69/J69</f>
        <v>0.95787037037037104</v>
      </c>
      <c r="AG69" s="615"/>
    </row>
    <row r="70" spans="1:33" ht="16.5" customHeight="1">
      <c r="A70" s="621" t="s">
        <v>14</v>
      </c>
      <c r="B70" s="29" t="s">
        <v>6</v>
      </c>
      <c r="C70" s="612"/>
      <c r="D70" s="613"/>
      <c r="E70" s="347"/>
      <c r="F70" s="30"/>
      <c r="G70" s="12"/>
      <c r="H70" s="350"/>
      <c r="I70" s="23">
        <v>15.333333333333334</v>
      </c>
      <c r="J70" s="31">
        <v>2400</v>
      </c>
      <c r="K70" s="12">
        <f t="shared" si="49"/>
        <v>156.52173913043478</v>
      </c>
      <c r="L70" s="23">
        <v>15.333333333333334</v>
      </c>
      <c r="M70" s="13">
        <f>AVERAGE(M64:M69)</f>
        <v>2294.8994233587259</v>
      </c>
      <c r="N70" s="12">
        <f t="shared" si="50"/>
        <v>149.66735369730822</v>
      </c>
      <c r="O70" s="14">
        <f t="shared" si="51"/>
        <v>0</v>
      </c>
      <c r="P70" s="15">
        <f t="shared" si="52"/>
        <v>-6.8543854331265663</v>
      </c>
      <c r="Q70" s="346">
        <f t="shared" si="53"/>
        <v>0.95620809306613586</v>
      </c>
      <c r="R70" s="615"/>
      <c r="S70" s="34"/>
      <c r="T70" s="34"/>
      <c r="U70" s="12"/>
      <c r="V70" s="349"/>
      <c r="W70" s="12"/>
      <c r="X70" s="12"/>
      <c r="Y70" s="24">
        <f>SUM(Y64:Y69)</f>
        <v>0</v>
      </c>
      <c r="Z70" s="24">
        <f>SUM(Z64:Z69)</f>
        <v>0</v>
      </c>
      <c r="AA70" s="614"/>
      <c r="AB70" s="614"/>
      <c r="AC70" s="24">
        <v>6</v>
      </c>
      <c r="AD70" s="24">
        <f>SUM(AD64:AD69)</f>
        <v>0</v>
      </c>
      <c r="AE70" s="14">
        <f t="shared" si="43"/>
        <v>-105.10057664127407</v>
      </c>
      <c r="AF70" s="346">
        <f t="shared" si="54"/>
        <v>0.95620809306613586</v>
      </c>
      <c r="AG70" s="615"/>
    </row>
    <row r="71" spans="1:33">
      <c r="D71" s="25"/>
      <c r="E71" s="25"/>
    </row>
  </sheetData>
  <mergeCells count="18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C37:D37"/>
    <mergeCell ref="R37:R44"/>
    <mergeCell ref="AA37:AB37"/>
    <mergeCell ref="AA42:AB42"/>
    <mergeCell ref="C43:D43"/>
    <mergeCell ref="AA43:AB43"/>
    <mergeCell ref="C44:D44"/>
    <mergeCell ref="AA44:AB44"/>
    <mergeCell ref="A29:A36"/>
    <mergeCell ref="C29:D29"/>
    <mergeCell ref="R29:R36"/>
    <mergeCell ref="AA29:AB29"/>
    <mergeCell ref="AA34:AB34"/>
    <mergeCell ref="C35:D35"/>
    <mergeCell ref="A45:A49"/>
    <mergeCell ref="C45:D45"/>
    <mergeCell ref="R45:R49"/>
    <mergeCell ref="AA45:AB45"/>
    <mergeCell ref="AG37:AG44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A37:A44"/>
    <mergeCell ref="A50:A57"/>
    <mergeCell ref="C50:D50"/>
    <mergeCell ref="R50:R57"/>
    <mergeCell ref="AA50:AB50"/>
    <mergeCell ref="AG50:AG57"/>
    <mergeCell ref="C51:D51"/>
    <mergeCell ref="AA51:AB51"/>
    <mergeCell ref="C52:D52"/>
    <mergeCell ref="AA52:AB52"/>
    <mergeCell ref="AA53:AB53"/>
    <mergeCell ref="AG58:AG63"/>
    <mergeCell ref="C59:D59"/>
    <mergeCell ref="AA59:AB59"/>
    <mergeCell ref="C60:D60"/>
    <mergeCell ref="AA60:AB60"/>
    <mergeCell ref="C61:D61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C62:D62"/>
    <mergeCell ref="AA62:AB62"/>
    <mergeCell ref="C63:D63"/>
    <mergeCell ref="AA63:AB63"/>
    <mergeCell ref="A64:A70"/>
    <mergeCell ref="C64:D64"/>
    <mergeCell ref="R64:R70"/>
    <mergeCell ref="AA64:AB64"/>
    <mergeCell ref="AA69:AB69"/>
    <mergeCell ref="A58:A63"/>
    <mergeCell ref="C58:D58"/>
    <mergeCell ref="R58:R63"/>
    <mergeCell ref="AA58:AB58"/>
    <mergeCell ref="C70:D70"/>
    <mergeCell ref="AA70:AB70"/>
    <mergeCell ref="AG64:AG70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</mergeCells>
  <phoneticPr fontId="3" type="noConversion"/>
  <conditionalFormatting sqref="O57:O58 O61:O70 O5:O9 O12:O14 O20:O55">
    <cfRule type="cellIs" dxfId="1136" priority="48" operator="greaterThan">
      <formula>0</formula>
    </cfRule>
  </conditionalFormatting>
  <conditionalFormatting sqref="P5:P7 P61:P62 AE61:AE62 P64:P69 P29:P35 P58 P9 P12:P14 P50:P55 P21:P27 P37:P48 AE5:AE58 AE64:AE70">
    <cfRule type="cellIs" dxfId="1135" priority="52" operator="lessThan">
      <formula>0</formula>
    </cfRule>
  </conditionalFormatting>
  <conditionalFormatting sqref="AF61:AF62 Q57:Q58 Q61:Q70 Q5:Q9 Q12:Q14 Q20:Q55 AF5:AF58 AF64:AF70">
    <cfRule type="cellIs" dxfId="1134" priority="49" operator="greaterThan">
      <formula>1</formula>
    </cfRule>
    <cfRule type="cellIs" dxfId="1133" priority="50" operator="lessThan">
      <formula>0.8</formula>
    </cfRule>
  </conditionalFormatting>
  <conditionalFormatting sqref="AG13:AG14 R13:R14 AG61 R20:R26 AG20:AG26 AG57:AG58 R57:R58 R61:R70 AG5:AG9 R5:R9 AG28:AG55 R28:R55">
    <cfRule type="cellIs" dxfId="1132" priority="54" operator="lessThan">
      <formula>0.8</formula>
    </cfRule>
  </conditionalFormatting>
  <conditionalFormatting sqref="AG45">
    <cfRule type="cellIs" dxfId="1131" priority="56" operator="lessThan">
      <formula>0.8</formula>
    </cfRule>
  </conditionalFormatting>
  <conditionalFormatting sqref="AG21:AG26">
    <cfRule type="cellIs" dxfId="1130" priority="53" operator="lessThan">
      <formula>0.8</formula>
    </cfRule>
  </conditionalFormatting>
  <conditionalFormatting sqref="AG29">
    <cfRule type="cellIs" dxfId="1129" priority="55" operator="lessThan">
      <formula>0.8</formula>
    </cfRule>
  </conditionalFormatting>
  <conditionalFormatting sqref="AG37:AG43">
    <cfRule type="cellIs" dxfId="1128" priority="51" operator="lessThan">
      <formula>0.8</formula>
    </cfRule>
  </conditionalFormatting>
  <conditionalFormatting sqref="AE63">
    <cfRule type="cellIs" dxfId="1127" priority="47" operator="lessThan">
      <formula>0</formula>
    </cfRule>
  </conditionalFormatting>
  <conditionalFormatting sqref="AF63">
    <cfRule type="cellIs" dxfId="1126" priority="45" operator="greaterThan">
      <formula>1</formula>
    </cfRule>
    <cfRule type="cellIs" dxfId="1125" priority="46" operator="lessThan">
      <formula>0.8</formula>
    </cfRule>
  </conditionalFormatting>
  <conditionalFormatting sqref="O15:O16">
    <cfRule type="cellIs" dxfId="1124" priority="40" operator="greaterThan">
      <formula>0</formula>
    </cfRule>
  </conditionalFormatting>
  <conditionalFormatting sqref="P15:P16">
    <cfRule type="cellIs" dxfId="1123" priority="43" operator="lessThan">
      <formula>0</formula>
    </cfRule>
  </conditionalFormatting>
  <conditionalFormatting sqref="Q15:Q16">
    <cfRule type="cellIs" dxfId="1122" priority="41" operator="greaterThan">
      <formula>1</formula>
    </cfRule>
    <cfRule type="cellIs" dxfId="1121" priority="42" operator="lessThan">
      <formula>0.8</formula>
    </cfRule>
  </conditionalFormatting>
  <conditionalFormatting sqref="R15:R16 AG15:AG16">
    <cfRule type="cellIs" dxfId="1120" priority="44" operator="lessThan">
      <formula>0.8</formula>
    </cfRule>
  </conditionalFormatting>
  <conditionalFormatting sqref="O10:O11">
    <cfRule type="cellIs" dxfId="1119" priority="36" operator="greaterThan">
      <formula>0</formula>
    </cfRule>
  </conditionalFormatting>
  <conditionalFormatting sqref="P10:P11">
    <cfRule type="cellIs" dxfId="1118" priority="39" operator="lessThan">
      <formula>0</formula>
    </cfRule>
  </conditionalFormatting>
  <conditionalFormatting sqref="Q10:Q11">
    <cfRule type="cellIs" dxfId="1117" priority="37" operator="greaterThan">
      <formula>1</formula>
    </cfRule>
    <cfRule type="cellIs" dxfId="1116" priority="38" operator="lessThan">
      <formula>0.8</formula>
    </cfRule>
  </conditionalFormatting>
  <conditionalFormatting sqref="O56">
    <cfRule type="cellIs" dxfId="1115" priority="31" operator="greaterThan">
      <formula>0</formula>
    </cfRule>
  </conditionalFormatting>
  <conditionalFormatting sqref="P56">
    <cfRule type="cellIs" dxfId="1114" priority="34" operator="lessThan">
      <formula>0</formula>
    </cfRule>
  </conditionalFormatting>
  <conditionalFormatting sqref="Q56">
    <cfRule type="cellIs" dxfId="1113" priority="32" operator="greaterThan">
      <formula>1</formula>
    </cfRule>
    <cfRule type="cellIs" dxfId="1112" priority="33" operator="lessThan">
      <formula>0.8</formula>
    </cfRule>
  </conditionalFormatting>
  <conditionalFormatting sqref="R56 AG56">
    <cfRule type="cellIs" dxfId="1111" priority="35" operator="lessThan">
      <formula>0.8</formula>
    </cfRule>
  </conditionalFormatting>
  <conditionalFormatting sqref="O60">
    <cfRule type="cellIs" dxfId="1110" priority="26" operator="greaterThan">
      <formula>0</formula>
    </cfRule>
  </conditionalFormatting>
  <conditionalFormatting sqref="P60 AE60">
    <cfRule type="cellIs" dxfId="1109" priority="29" operator="lessThan">
      <formula>0</formula>
    </cfRule>
  </conditionalFormatting>
  <conditionalFormatting sqref="Q60 AF60">
    <cfRule type="cellIs" dxfId="1108" priority="27" operator="greaterThan">
      <formula>1</formula>
    </cfRule>
    <cfRule type="cellIs" dxfId="1107" priority="28" operator="lessThan">
      <formula>0.8</formula>
    </cfRule>
  </conditionalFormatting>
  <conditionalFormatting sqref="R60 AG60">
    <cfRule type="cellIs" dxfId="1106" priority="30" operator="lessThan">
      <formula>0.8</formula>
    </cfRule>
  </conditionalFormatting>
  <conditionalFormatting sqref="O17:O18">
    <cfRule type="cellIs" dxfId="1105" priority="21" operator="greaterThan">
      <formula>0</formula>
    </cfRule>
  </conditionalFormatting>
  <conditionalFormatting sqref="P17:P18">
    <cfRule type="cellIs" dxfId="1104" priority="24" operator="lessThan">
      <formula>0</formula>
    </cfRule>
  </conditionalFormatting>
  <conditionalFormatting sqref="Q17:Q18">
    <cfRule type="cellIs" dxfId="1103" priority="22" operator="greaterThan">
      <formula>1</formula>
    </cfRule>
    <cfRule type="cellIs" dxfId="1102" priority="23" operator="lessThan">
      <formula>0.8</formula>
    </cfRule>
  </conditionalFormatting>
  <conditionalFormatting sqref="R17:R18 AG17:AG18">
    <cfRule type="cellIs" dxfId="1101" priority="25" operator="lessThan">
      <formula>0.8</formula>
    </cfRule>
  </conditionalFormatting>
  <conditionalFormatting sqref="R27 AG27">
    <cfRule type="cellIs" dxfId="1100" priority="20" operator="lessThan">
      <formula>0.8</formula>
    </cfRule>
  </conditionalFormatting>
  <conditionalFormatting sqref="AG27">
    <cfRule type="cellIs" dxfId="1099" priority="19" operator="lessThan">
      <formula>0.8</formula>
    </cfRule>
  </conditionalFormatting>
  <conditionalFormatting sqref="O59">
    <cfRule type="cellIs" dxfId="1098" priority="14" operator="greaterThan">
      <formula>0</formula>
    </cfRule>
  </conditionalFormatting>
  <conditionalFormatting sqref="P59 AE59">
    <cfRule type="cellIs" dxfId="1097" priority="17" operator="lessThan">
      <formula>0</formula>
    </cfRule>
  </conditionalFormatting>
  <conditionalFormatting sqref="Q59 AF59">
    <cfRule type="cellIs" dxfId="1096" priority="15" operator="greaterThan">
      <formula>1</formula>
    </cfRule>
    <cfRule type="cellIs" dxfId="1095" priority="16" operator="lessThan">
      <formula>0.8</formula>
    </cfRule>
  </conditionalFormatting>
  <conditionalFormatting sqref="R59 AG59">
    <cfRule type="cellIs" dxfId="1094" priority="18" operator="lessThan">
      <formula>0.8</formula>
    </cfRule>
  </conditionalFormatting>
  <conditionalFormatting sqref="O19">
    <cfRule type="cellIs" dxfId="1093" priority="9" operator="greaterThan">
      <formula>0</formula>
    </cfRule>
  </conditionalFormatting>
  <conditionalFormatting sqref="P19">
    <cfRule type="cellIs" dxfId="1092" priority="12" operator="lessThan">
      <formula>0</formula>
    </cfRule>
  </conditionalFormatting>
  <conditionalFormatting sqref="Q19">
    <cfRule type="cellIs" dxfId="1091" priority="10" operator="greaterThan">
      <formula>1</formula>
    </cfRule>
    <cfRule type="cellIs" dxfId="1090" priority="11" operator="lessThan">
      <formula>0.8</formula>
    </cfRule>
  </conditionalFormatting>
  <conditionalFormatting sqref="AG19 R19">
    <cfRule type="cellIs" dxfId="1089" priority="13" operator="lessThan">
      <formula>0.8</formula>
    </cfRule>
  </conditionalFormatting>
  <conditionalFormatting sqref="P8">
    <cfRule type="cellIs" dxfId="1088" priority="8" operator="lessThan">
      <formula>0</formula>
    </cfRule>
  </conditionalFormatting>
  <conditionalFormatting sqref="P20">
    <cfRule type="cellIs" dxfId="1087" priority="7" operator="lessThan">
      <formula>0</formula>
    </cfRule>
  </conditionalFormatting>
  <conditionalFormatting sqref="P28">
    <cfRule type="cellIs" dxfId="1086" priority="6" operator="lessThan">
      <formula>0</formula>
    </cfRule>
  </conditionalFormatting>
  <conditionalFormatting sqref="P36">
    <cfRule type="cellIs" dxfId="1085" priority="5" operator="lessThan">
      <formula>0</formula>
    </cfRule>
  </conditionalFormatting>
  <conditionalFormatting sqref="P49">
    <cfRule type="cellIs" dxfId="1084" priority="4" operator="lessThan">
      <formula>0</formula>
    </cfRule>
  </conditionalFormatting>
  <conditionalFormatting sqref="P57">
    <cfRule type="cellIs" dxfId="1083" priority="3" operator="lessThan">
      <formula>0</formula>
    </cfRule>
  </conditionalFormatting>
  <conditionalFormatting sqref="P63">
    <cfRule type="cellIs" dxfId="1082" priority="2" operator="lessThan">
      <formula>0</formula>
    </cfRule>
  </conditionalFormatting>
  <conditionalFormatting sqref="P70">
    <cfRule type="cellIs" dxfId="1081" priority="1" operator="lessThan">
      <formula>0</formula>
    </cfRule>
  </conditionalFormatting>
  <dataValidations count="1">
    <dataValidation type="list" allowBlank="1" showInputMessage="1" showErrorMessage="1" sqref="AB8 AA5:AB7 AB62 AB10:AB58 AA8:AA62 AA63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2" sqref="D1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1417</v>
      </c>
      <c r="C3" s="601" t="str">
        <f>TEXT('0616 4度C'!A2,"yyyy.mm.ddaaaa")</f>
        <v>2026.06.16星期二</v>
      </c>
      <c r="D3" s="602"/>
      <c r="E3" s="39" t="s">
        <v>187</v>
      </c>
      <c r="F3" s="603">
        <f>'0616 4度C'!D1</f>
        <v>192097</v>
      </c>
      <c r="G3" s="604"/>
      <c r="H3" s="39" t="s">
        <v>1418</v>
      </c>
      <c r="I3" s="605">
        <f>'0616 4度C'!F1</f>
        <v>6675568.4600000009</v>
      </c>
      <c r="J3" s="606"/>
      <c r="K3" s="40"/>
      <c r="L3" s="41"/>
      <c r="M3" s="42"/>
      <c r="N3" s="42"/>
    </row>
    <row r="4" spans="2:17" ht="28.5" customHeight="1">
      <c r="B4" s="607" t="s">
        <v>92</v>
      </c>
      <c r="C4" s="593" t="s">
        <v>1419</v>
      </c>
      <c r="D4" s="594"/>
      <c r="E4" s="610" t="s">
        <v>94</v>
      </c>
      <c r="F4" s="611"/>
      <c r="G4" s="610" t="s">
        <v>1420</v>
      </c>
      <c r="H4" s="611"/>
      <c r="I4" s="610" t="s">
        <v>96</v>
      </c>
      <c r="J4" s="611"/>
      <c r="K4" s="591" t="s">
        <v>97</v>
      </c>
      <c r="L4" s="592"/>
      <c r="M4" s="592" t="s">
        <v>1421</v>
      </c>
      <c r="N4" s="592"/>
    </row>
    <row r="5" spans="2:17" ht="28.5" customHeight="1">
      <c r="B5" s="608"/>
      <c r="C5" s="593" t="s">
        <v>1422</v>
      </c>
      <c r="D5" s="594"/>
      <c r="E5" s="593" t="s">
        <v>196</v>
      </c>
      <c r="F5" s="594"/>
      <c r="G5" s="595" t="s">
        <v>100</v>
      </c>
      <c r="H5" s="596"/>
      <c r="I5" s="597" t="s">
        <v>101</v>
      </c>
      <c r="J5" s="598"/>
      <c r="K5" s="43" t="s">
        <v>199</v>
      </c>
      <c r="L5" s="44" t="s">
        <v>78</v>
      </c>
      <c r="M5" s="43" t="s">
        <v>199</v>
      </c>
      <c r="N5" s="44" t="s">
        <v>1423</v>
      </c>
    </row>
    <row r="6" spans="2:17" ht="28.5" customHeight="1">
      <c r="B6" s="608"/>
      <c r="C6" s="593" t="s">
        <v>58</v>
      </c>
      <c r="D6" s="594"/>
      <c r="E6" s="585">
        <f>AVERAGE(D13:M13)</f>
        <v>152.87999946579458</v>
      </c>
      <c r="F6" s="586">
        <f>AVERAGE(D31:O31,D13:J13)</f>
        <v>158.42192896914003</v>
      </c>
      <c r="G6" s="587">
        <f>AVERAGE(D13:J13)</f>
        <v>158.42192896914003</v>
      </c>
      <c r="H6" s="588"/>
      <c r="I6" s="587">
        <f>AVERAGE(K13:M13)</f>
        <v>139.94883062465519</v>
      </c>
      <c r="J6" s="588"/>
      <c r="K6" s="589">
        <f>'0616 4度C'!Y2</f>
        <v>0</v>
      </c>
      <c r="L6" s="574">
        <f>'0616 4度C'!Z2</f>
        <v>0</v>
      </c>
      <c r="M6" s="590">
        <f>'0616 4度C'!AC2</f>
        <v>58</v>
      </c>
      <c r="N6" s="574">
        <f>'0616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146.38469673536292</v>
      </c>
      <c r="F7" s="578">
        <f>AVERAGE(D32:O32,D14:J14)</f>
        <v>151.83414664526168</v>
      </c>
      <c r="G7" s="579">
        <f>AVERAGE(D14:J14)</f>
        <v>151.83414664526168</v>
      </c>
      <c r="H7" s="580"/>
      <c r="I7" s="579">
        <f>AVERAGE(K14:M14)</f>
        <v>133.66931361226577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0.95705814713765403</v>
      </c>
      <c r="F8" s="582">
        <f>AVERAGE(D15:J15,D33:O33)</f>
        <v>0.95784791233190936</v>
      </c>
      <c r="G8" s="583">
        <f>AVERAGE(D15:J15)</f>
        <v>0.95784791233190936</v>
      </c>
      <c r="H8" s="584"/>
      <c r="I8" s="583">
        <f>AVERAGE(K15:M15)</f>
        <v>0.95521536168439181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104</v>
      </c>
      <c r="N9" s="42"/>
      <c r="O9" s="42"/>
      <c r="P9" s="42"/>
      <c r="Q9" s="42"/>
    </row>
    <row r="10" spans="2:17" ht="30" customHeight="1">
      <c r="B10" s="557" t="s">
        <v>105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203</v>
      </c>
      <c r="L10" s="563"/>
      <c r="M10" s="564"/>
      <c r="P10" s="48"/>
      <c r="Q10" s="48"/>
    </row>
    <row r="11" spans="2:17" ht="17.25" customHeight="1">
      <c r="B11" s="565" t="s">
        <v>108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109</v>
      </c>
      <c r="C13" s="55" t="s">
        <v>110</v>
      </c>
      <c r="D13" s="56">
        <f>SUMIFS('0616 4度C'!$K:$K,'0616 4度C'!$A:$A,"新豐6線",'0616 4度C'!$B:$B,"平均")</f>
        <v>130.43478260869566</v>
      </c>
      <c r="E13" s="57">
        <f>SUMIFS('0616 4度C'!$K:$K,'0616 4度C'!$A:$A,"新豐2線",'0616 4度C'!$B:$B,"平均")</f>
        <v>86.956521739130437</v>
      </c>
      <c r="F13" s="58">
        <f>SUMIFS('0616 4度C'!$K:$K,'0616 4度C'!$A:$A,"新豐5線",'0616 4度C'!$B:$B,"平均")</f>
        <v>87.786259541984734</v>
      </c>
      <c r="G13" s="58">
        <f>SUMIFS('0616 4度C'!$K:$K,'0616 4度C'!$A:$A,"新豐7線",'0616 4度C'!$B:$B,"平均")</f>
        <v>109.15492957746478</v>
      </c>
      <c r="H13" s="58">
        <f>SUMIFS('0616 4度C'!$K:$K,'0616 4度C'!$A:$A,"新豐3線",'0616 4度C'!$B:$B,"平均")</f>
        <v>255.81395348837211</v>
      </c>
      <c r="I13" s="58">
        <f>SUMIFS('0616 4度C'!$K:$K,'0616 4度C'!$A:$A,"新豐1線",'0616 4度C'!$B:$B,"平均")</f>
        <v>119.65811965811965</v>
      </c>
      <c r="J13" s="59">
        <f>SUMIFS('0616 4度C'!$K:$K,'0616 4度C'!$A:$A,"新豐10線",'0616 4度C'!$B:$B,"平均")</f>
        <v>319.14893617021278</v>
      </c>
      <c r="K13" s="60">
        <f>SUMIFS('0616 4度C'!$K:$K,'0616 4度C'!$A:$A,"新豐8線",'0616 4度C'!$B:$B,"平均")</f>
        <v>137.70491803278691</v>
      </c>
      <c r="L13" s="61">
        <f>SUMIFS('0616 4度C'!$K:$K,'0616 4度C'!$A:$A,"新豐9線",'0616 4度C'!$B:$B,"平均")</f>
        <v>125.61983471074382</v>
      </c>
      <c r="M13" s="59">
        <f>SUMIFS('0616 4度C'!$K:$K,'0616 4度C'!$A:$A,"新豐4線",'0616 4度C'!$B:$B,"平均")</f>
        <v>156.52173913043478</v>
      </c>
    </row>
    <row r="14" spans="2:17" ht="39.6" customHeight="1">
      <c r="B14" s="570"/>
      <c r="C14" s="62" t="s">
        <v>111</v>
      </c>
      <c r="D14" s="63">
        <f>SUMIFS('0616 4度C'!$N:$N,'0616 4度C'!$A:$A,"新豐6線",'0616 4度C'!$B:$B,"平均")</f>
        <v>124.78886673399447</v>
      </c>
      <c r="E14" s="64">
        <f>SUMIFS('0616 4度C'!$N:$N,'0616 4度C'!$A:$A,"新豐2線",'0616 4度C'!$B:$B,"平均")</f>
        <v>83.028492237964642</v>
      </c>
      <c r="F14" s="64">
        <f>SUMIFS('0616 4度C'!$N:$N,'0616 4度C'!$A:$A,"新豐5線",'0616 4度C'!$B:$B,"平均")</f>
        <v>84.289310307636939</v>
      </c>
      <c r="G14" s="64">
        <f>SUMIFS('0616 4度C'!$N:$N,'0616 4度C'!$A:$A,"新豐7線",'0616 4度C'!$B:$B,"平均")</f>
        <v>104.6630160543362</v>
      </c>
      <c r="H14" s="64">
        <f>SUMIFS('0616 4度C'!$N:$N,'0616 4度C'!$A:$A,"新豐3線",'0616 4度C'!$B:$B,"平均")</f>
        <v>244.82166946418877</v>
      </c>
      <c r="I14" s="64">
        <f>SUMIFS('0616 4度C'!$N:$N,'0616 4度C'!$A:$A,"新豐1線",'0616 4度C'!$B:$B,"平均")</f>
        <v>114.36865777236514</v>
      </c>
      <c r="J14" s="65">
        <f>SUMIFS('0616 4度C'!$N:$N,'0616 4度C'!$A:$A,"新豐10線",'0616 4度C'!$B:$B,"平均")</f>
        <v>306.87901394634565</v>
      </c>
      <c r="K14" s="66">
        <f>SUMIFS('0616 4度C'!$N:$N,'0616 4度C'!$A:$A,"新豐8線",'0616 4度C'!$B:$B,"平均")</f>
        <v>131.59309943140741</v>
      </c>
      <c r="L14" s="67">
        <f>SUMIFS('0616 4度C'!$N:$N,'0616 4度C'!$A:$A,"新豐9線",'0616 4度C'!$B:$B,"平均")</f>
        <v>120.10915473936122</v>
      </c>
      <c r="M14" s="65">
        <f>SUMIFS('0616 4度C'!$N:$N,'0616 4度C'!$A:$A,"新豐4線",'0616 4度C'!$B:$B,"平均")</f>
        <v>149.30568666602869</v>
      </c>
    </row>
    <row r="15" spans="2:17" ht="40.15" customHeight="1">
      <c r="B15" s="571"/>
      <c r="C15" s="68" t="s">
        <v>112</v>
      </c>
      <c r="D15" s="69">
        <f t="shared" ref="D15:M15" si="0">D14/D13</f>
        <v>0.95671464496062419</v>
      </c>
      <c r="E15" s="70">
        <f t="shared" si="0"/>
        <v>0.95482766073659331</v>
      </c>
      <c r="F15" s="70">
        <f t="shared" si="0"/>
        <v>0.96016518698264686</v>
      </c>
      <c r="G15" s="70">
        <f t="shared" si="0"/>
        <v>0.9588482761106929</v>
      </c>
      <c r="H15" s="70">
        <f t="shared" si="0"/>
        <v>0.95703016245091965</v>
      </c>
      <c r="I15" s="70">
        <f t="shared" si="0"/>
        <v>0.95579521138333734</v>
      </c>
      <c r="J15" s="71">
        <f t="shared" si="0"/>
        <v>0.96155424369854969</v>
      </c>
      <c r="K15" s="69">
        <f t="shared" si="0"/>
        <v>0.9556165553947441</v>
      </c>
      <c r="L15" s="70">
        <f t="shared" si="0"/>
        <v>0.95613208706991482</v>
      </c>
      <c r="M15" s="71">
        <f t="shared" si="0"/>
        <v>0.95389744258851661</v>
      </c>
    </row>
    <row r="16" spans="2:17" ht="17.25" customHeight="1">
      <c r="B16" s="572" t="s">
        <v>113</v>
      </c>
      <c r="C16" s="72" t="s">
        <v>114</v>
      </c>
      <c r="D16" s="73">
        <f>VLOOKUP("新豐6線",'0616 4度C'!$A:$T,19,0)</f>
        <v>0.70833333333333337</v>
      </c>
      <c r="E16" s="74">
        <f>VLOOKUP("新豐2線",'0616 4度C'!$A:$T,19,0)</f>
        <v>8.3333333333333329E-2</v>
      </c>
      <c r="F16" s="74">
        <f>VLOOKUP("新豐5線",'0616 4度C'!$A:$T,19,0)</f>
        <v>8.3333333333333329E-2</v>
      </c>
      <c r="G16" s="74">
        <f>VLOOKUP("新豐7線",'0616 4度C'!$A:$T,19,0)</f>
        <v>0.20833333333333334</v>
      </c>
      <c r="H16" s="74">
        <f>VLOOKUP("新豐3線",'0616 4度C'!$A:$T,19,0)</f>
        <v>8.3333333333333329E-2</v>
      </c>
      <c r="I16" s="74">
        <f>VLOOKUP("新豐1線",'0616 4度C'!$A:$T,19,0)</f>
        <v>0.16666666666666666</v>
      </c>
      <c r="J16" s="75">
        <f>VLOOKUP("新豐10線",'0616 4度C'!$A:$T,19,0)</f>
        <v>0.20833333333333334</v>
      </c>
      <c r="K16" s="76">
        <f>VLOOKUP("新豐8線",'0616 4度C'!$A:$T,19,0)</f>
        <v>8.3333333333333329E-2</v>
      </c>
      <c r="L16" s="77">
        <f>VLOOKUP("新豐9線",'0616 4度C'!$A:$T,19,0)</f>
        <v>8.3333333333333329E-2</v>
      </c>
      <c r="M16" s="78">
        <f>VLOOKUP("新豐4線",'0616 4度C'!$A:$T,19,0)</f>
        <v>8.3333333333333329E-2</v>
      </c>
    </row>
    <row r="17" spans="2:13" ht="17.25" customHeight="1">
      <c r="B17" s="573"/>
      <c r="C17" s="72" t="s">
        <v>115</v>
      </c>
      <c r="D17" s="76">
        <f>LOOKUP(2,1/(('0616 4度C'!$A:$A="新豐6線")*('0616 4度C'!$T:$T&lt;&gt;"")),'0616 4度C'!$T:$T)</f>
        <v>0.85069444444444453</v>
      </c>
      <c r="E17" s="74">
        <f>LOOKUP(2,1/(('0616 4度C'!$A:$A="新豐2線")*('0616 4度C'!$T:$T&lt;&gt;"")),'0616 4度C'!$T:$T)</f>
        <v>0.64374999999999993</v>
      </c>
      <c r="F17" s="74">
        <f>LOOKUP(2,1/(('0616 4度C'!$A:$A="新豐5線")*('0616 4度C'!$T:$T&lt;&gt;"")),'0616 4度C'!$T:$T)</f>
        <v>0.8125</v>
      </c>
      <c r="G17" s="74">
        <f>LOOKUP(2,1/(('0616 4度C'!$A:$A="新豐7線")*('0616 4度C'!$T:$T&lt;&gt;"")),'0616 4度C'!$T:$T)</f>
        <v>0.82916666666666661</v>
      </c>
      <c r="H17" s="74">
        <f>LOOKUP(2,1/(('0616 4度C'!$A:$A="新豐3線")*('0616 4度C'!$T:$T&lt;&gt;"")),'0616 4度C'!$T:$T)</f>
        <v>0.39791666666666664</v>
      </c>
      <c r="I17" s="74">
        <f>LOOKUP(2,1/(('0616 4度C'!$A:$A="新豐1線")*('0616 4度C'!$T:$T&lt;&gt;"")),'0616 4度C'!$T:$T)</f>
        <v>0.84930555555555554</v>
      </c>
      <c r="J17" s="75">
        <f>LOOKUP(2,1/(('0616 4度C'!$A:$A="新豐10線")*('0616 4度C'!$T:$T&lt;&gt;"")),'0616 4度C'!$T:$T)</f>
        <v>0.40277777777777773</v>
      </c>
      <c r="K17" s="73">
        <f>LOOKUP(2,1/(('0616 4度C'!$A:$A="新豐8線")*('0616 4度C'!$T:$T&lt;&gt;"")),'0616 4度C'!$T:$T)</f>
        <v>0.71527777777777757</v>
      </c>
      <c r="L17" s="74">
        <f>LOOKUP(2,1/(('0616 4度C'!$A:$A="新豐9線")*('0616 4度C'!$T:$T&lt;&gt;"")),'0616 4度C'!$T:$T)</f>
        <v>0.71319444444444435</v>
      </c>
      <c r="M17" s="75">
        <f>LOOKUP(2,1/(('0616 4度C'!$A:$A="新豐4線")*('0616 4度C'!$T:$T&lt;&gt;"")),'0616 4度C'!$T:$T)</f>
        <v>0.64861111111111103</v>
      </c>
    </row>
    <row r="18" spans="2:13" ht="17.25" customHeight="1">
      <c r="B18" s="551" t="s">
        <v>116</v>
      </c>
      <c r="C18" s="79" t="s">
        <v>117</v>
      </c>
      <c r="D18" s="80">
        <f>SUMIFS('0616 4度C'!$Y:$Y,'0616 4度C'!$A:$A,"新豐6線",'0616 4度C'!$B:$B,"平均")</f>
        <v>0</v>
      </c>
      <c r="E18" s="81">
        <f>SUMIFS('0616 4度C'!$Y:$Y,'0616 4度C'!$A:$A,"新豐2線",'0616 4度C'!$B:$B,"平均")</f>
        <v>0</v>
      </c>
      <c r="F18" s="81">
        <f>SUMIFS('0616 4度C'!$Y:$Y,'0616 4度C'!$A:$A,"新豐5線",'0616 4度C'!$B:$B,"平均")</f>
        <v>0</v>
      </c>
      <c r="G18" s="81">
        <f>SUMIFS('0616 4度C'!$Y:$Y,'0616 4度C'!$A:$A,"新豐7線",'0616 4度C'!$B:$B,"平均")</f>
        <v>0</v>
      </c>
      <c r="H18" s="81">
        <f>SUMIFS('0616 4度C'!$Y:$Y,'0616 4度C'!$A:$A,"新豐3線",'0616 4度C'!$B:$B,"平均")</f>
        <v>0</v>
      </c>
      <c r="I18" s="81">
        <f>SUMIFS('0616 4度C'!$Y:$Y,'0616 4度C'!$A:$A,"新豐1線",'0616 4度C'!$B:$B,"平均")</f>
        <v>0</v>
      </c>
      <c r="J18" s="82">
        <f>SUMIFS('0616 4度C'!$Y:$Y,'0616 4度C'!$A:$A,"新豐10線",'0616 4度C'!$B:$B,"平均")</f>
        <v>0</v>
      </c>
      <c r="K18" s="83">
        <f>SUMIFS('0616 4度C'!$Y:$Y,'0616 4度C'!$A:$A,"新豐8線",'0616 4度C'!$B:$B,"平均")</f>
        <v>0</v>
      </c>
      <c r="L18" s="81">
        <f>SUMIFS('0616 4度C'!$Y:$Y,'0616 4度C'!$A:$A,"新豐9線",'0616 4度C'!$B:$B,"平均")</f>
        <v>0</v>
      </c>
      <c r="M18" s="82">
        <f>SUMIFS('0616 4度C'!$Y:$Y,'0616 4度C'!$A:$A,"新豐4線",'0616 4度C'!$B:$B,"平均")</f>
        <v>0</v>
      </c>
    </row>
    <row r="19" spans="2:13" ht="17.25" customHeight="1">
      <c r="B19" s="552"/>
      <c r="C19" s="79" t="s">
        <v>118</v>
      </c>
      <c r="D19" s="80">
        <f>SUMIFS('0616 4度C'!$Z:$Z,'0616 4度C'!$A:$A,"新豐6線",'0616 4度C'!$B:$B,"平均")</f>
        <v>0</v>
      </c>
      <c r="E19" s="81">
        <f>SUMIFS('0616 4度C'!$Z:$Z,'0616 4度C'!$A:$A,"新豐2線",'0616 4度C'!$B:$B,"平均")</f>
        <v>0</v>
      </c>
      <c r="F19" s="81">
        <f>SUMIFS('0616 4度C'!$Z:$Z,'0616 4度C'!$A:$A,"新豐5線",'0616 4度C'!$B:$B,"平均")</f>
        <v>0</v>
      </c>
      <c r="G19" s="81">
        <f>SUMIFS('0616 4度C'!$Z:$Z,'0616 4度C'!$A:$A,"新豐7線",'0616 4度C'!$B:$B,"平均")</f>
        <v>0</v>
      </c>
      <c r="H19" s="81">
        <f>SUMIFS('0616 4度C'!$Z:$Z,'0616 4度C'!$A:$A,"新豐3線",'0616 4度C'!$B:$B,"平均")</f>
        <v>0</v>
      </c>
      <c r="I19" s="81">
        <f>SUMIFS('0616 4度C'!$Z:$Z,'0616 4度C'!$A:$A,"新豐1線",'0616 4度C'!$B:$B,"平均")</f>
        <v>0</v>
      </c>
      <c r="J19" s="82">
        <f>SUMIFS('0616 4度C'!$Z:$Z,'0616 4度C'!$A:$A,"新豐10線",'0616 4度C'!$B:$B,"平均")</f>
        <v>0</v>
      </c>
      <c r="K19" s="83">
        <f>SUMIFS('0616 4度C'!$Z:$Z,'0616 4度C'!$A:$A,"新豐8線",'0616 4度C'!$B:$B,"平均")</f>
        <v>0</v>
      </c>
      <c r="L19" s="81">
        <f>SUMIFS('0616 4度C'!$Z:$Z,'0616 4度C'!$A:$A,"新豐9線",'0616 4度C'!$B:$B,"平均")</f>
        <v>0</v>
      </c>
      <c r="M19" s="82">
        <f>SUMIFS('0616 4度C'!$Z:$Z,'0616 4度C'!$A:$A,"新豐4線",'0616 4度C'!$B:$B,"平均")</f>
        <v>0</v>
      </c>
    </row>
    <row r="20" spans="2:13" ht="17.25" customHeight="1">
      <c r="B20" s="551" t="s">
        <v>119</v>
      </c>
      <c r="C20" s="79" t="s">
        <v>117</v>
      </c>
      <c r="D20" s="80">
        <f>SUMIFS('0616 4度C'!$AC:$AC,'0616 4度C'!$A:$A,"新豐6線",'0616 4度C'!$B:$B,"平均")</f>
        <v>3</v>
      </c>
      <c r="E20" s="81">
        <f>SUMIFS('0616 4度C'!$AC:$AC,'0616 4度C'!$A:$A,"新豐2線",'0616 4度C'!$B:$B,"平均")</f>
        <v>4</v>
      </c>
      <c r="F20" s="81">
        <f>SUMIFS('0616 4度C'!$AC:$AC,'0616 4度C'!$A:$A,"新豐5線",'0616 4度C'!$B:$B,"平均")</f>
        <v>7</v>
      </c>
      <c r="G20" s="81">
        <f>SUMIFS('0616 4度C'!$AC:$AC,'0616 4度C'!$A:$A,"新豐7線",'0616 4度C'!$B:$B,"平均")</f>
        <v>8</v>
      </c>
      <c r="H20" s="81">
        <f>SUMIFS('0616 4度C'!$AC:$AC,'0616 4度C'!$A:$A,"新豐3線",'0616 4度C'!$B:$B,"平均")</f>
        <v>4</v>
      </c>
      <c r="I20" s="81">
        <f>SUMIFS('0616 4度C'!$AC:$AC,'0616 4度C'!$A:$A,"新豐1線",'0616 4度C'!$B:$B,"平均")</f>
        <v>7</v>
      </c>
      <c r="J20" s="82">
        <f>SUMIFS('0616 4度C'!$AC:$AC,'0616 4度C'!$A:$A,"新豐10線",'0616 4度C'!$B:$B,"平均")</f>
        <v>5</v>
      </c>
      <c r="K20" s="83">
        <f>SUMIFS('0616 4度C'!$AC:$AC,'0616 4度C'!$A:$A,"新豐8線",'0616 4度C'!$B:$B,"平均")</f>
        <v>7</v>
      </c>
      <c r="L20" s="81">
        <f>SUMIFS('0616 4度C'!$AC:$AC,'0616 4度C'!$A:$A,"新豐9線",'0616 4度C'!$B:$B,"平均")</f>
        <v>7</v>
      </c>
      <c r="M20" s="82">
        <f>SUMIFS('0616 4度C'!$AC:$AC,'0616 4度C'!$A:$A,"新豐4線",'0616 4度C'!$B:$B,"平均")</f>
        <v>6</v>
      </c>
    </row>
    <row r="21" spans="2:13" ht="17.25" customHeight="1">
      <c r="B21" s="552"/>
      <c r="C21" s="79" t="s">
        <v>120</v>
      </c>
      <c r="D21" s="80">
        <f>SUMIFS('0616 4度C'!$AD:$AD,'0616 4度C'!$A:$A,"新豐6線",'0616 4度C'!$B:$B,"平均")</f>
        <v>0</v>
      </c>
      <c r="E21" s="81">
        <f>SUMIFS('0616 4度C'!$AD:$AD,'0616 4度C'!$A:$A,"新豐2線",'0616 4度C'!$B:$B,"平均")</f>
        <v>0</v>
      </c>
      <c r="F21" s="81">
        <f>SUMIFS('0616 4度C'!$AD:$AD,'0616 4度C'!$A:$A,"新豐5線",'0616 4度C'!$B:$B,"平均")</f>
        <v>0</v>
      </c>
      <c r="G21" s="81">
        <f>SUMIFS('0616 4度C'!$AD:$AD,'0616 4度C'!$A:$A,"新豐7線",'0616 4度C'!$B:$B,"平均")</f>
        <v>0</v>
      </c>
      <c r="H21" s="81">
        <f>SUMIFS('0616 4度C'!$AD:$AD,'0616 4度C'!$A:$A,"新豐3線",'0616 4度C'!$B:$B,"平均")</f>
        <v>0</v>
      </c>
      <c r="I21" s="81">
        <f>SUMIFS('0616 4度C'!$AD:$AD,'0616 4度C'!$A:$A,"新豐1線",'0616 4度C'!$B:$B,"平均")</f>
        <v>0</v>
      </c>
      <c r="J21" s="82">
        <f>SUMIFS('0616 4度C'!$AD:$AD,'0616 4度C'!$A:$A,"新豐10線",'0616 4度C'!$B:$B,"平均")</f>
        <v>0</v>
      </c>
      <c r="K21" s="83">
        <f>SUMIFS('0616 4度C'!$AD:$AD,'0616 4度C'!$A:$A,"新豐8線",'0616 4度C'!$B:$B,"平均")</f>
        <v>0</v>
      </c>
      <c r="L21" s="81">
        <f>SUMIFS('0616 4度C'!$AD:$AD,'0616 4度C'!$A:$A,"新豐9線",'0616 4度C'!$B:$B,"平均")</f>
        <v>0</v>
      </c>
      <c r="M21" s="82">
        <f>SUMIFS('0616 4度C'!$AD:$AD,'0616 4度C'!$A:$A,"新豐4線",'0616 4度C'!$B:$B,"平均")</f>
        <v>0</v>
      </c>
    </row>
    <row r="22" spans="2:13" ht="17.25" customHeight="1">
      <c r="B22" s="553" t="s">
        <v>121</v>
      </c>
      <c r="C22" s="554"/>
      <c r="D22" s="84">
        <f>SUMIFS('0616 4度C'!$I:$I,'0616 4度C'!$A:$A,"新豐6線",'0616 4度C'!$B:$B,"平均")</f>
        <v>15.333333333333334</v>
      </c>
      <c r="E22" s="85">
        <f>SUMIFS('0616 4度C'!$I:$I,'0616 4度C'!$A:$A,"新豐2線",'0616 4度C'!$B:$B,"平均")</f>
        <v>17.25</v>
      </c>
      <c r="F22" s="85">
        <f>SUMIFS('0616 4度C'!$I:$I,'0616 4度C'!$A:$A,"新豐5線",'0616 4度C'!$B:$B,"平均")</f>
        <v>18.714285714285715</v>
      </c>
      <c r="G22" s="85">
        <f>SUMIFS('0616 4度C'!$I:$I,'0616 4度C'!$A:$A,"新豐7線",'0616 4度C'!$B:$B,"平均")</f>
        <v>17.75</v>
      </c>
      <c r="H22" s="85">
        <f>SUMIFS('0616 4度C'!$I:$I,'0616 4度C'!$A:$A,"新豐3線",'0616 4度C'!$B:$B,"平均")</f>
        <v>10.75</v>
      </c>
      <c r="I22" s="85">
        <f>SUMIFS('0616 4度C'!$I:$I,'0616 4度C'!$A:$A,"新豐1線",'0616 4度C'!$B:$B,"平均")</f>
        <v>16.714285714285715</v>
      </c>
      <c r="J22" s="86">
        <f>SUMIFS('0616 4度C'!$I:$I,'0616 4度C'!$A:$A,"新豐10線",'0616 4度C'!$B:$B,"平均")</f>
        <v>9.4</v>
      </c>
      <c r="K22" s="84">
        <f>SUMIFS('0616 4度C'!$I:$I,'0616 4度C'!$A:$A,"新豐8線",'0616 4度C'!$B:$B,"平均")</f>
        <v>17.428571428571427</v>
      </c>
      <c r="L22" s="85">
        <f>SUMIFS('0616 4度C'!$I:$I,'0616 4度C'!$A:$A,"新豐9線",'0616 4度C'!$B:$B,"平均")</f>
        <v>17.285714285714285</v>
      </c>
      <c r="M22" s="86">
        <f>SUMIFS('0616 4度C'!$I:$I,'0616 4度C'!$A:$A,"新豐4線",'0616 4度C'!$B:$B,"平均")</f>
        <v>15.333333333333334</v>
      </c>
    </row>
    <row r="23" spans="2:13" ht="17.25" customHeight="1">
      <c r="B23" s="553" t="s">
        <v>122</v>
      </c>
      <c r="C23" s="554"/>
      <c r="D23" s="87" t="s">
        <v>71</v>
      </c>
      <c r="E23" s="88" t="s">
        <v>72</v>
      </c>
      <c r="F23" s="88" t="s">
        <v>123</v>
      </c>
      <c r="G23" s="88" t="s">
        <v>123</v>
      </c>
      <c r="H23" s="88" t="s">
        <v>73</v>
      </c>
      <c r="I23" s="88" t="s">
        <v>71</v>
      </c>
      <c r="J23" s="89" t="s">
        <v>73</v>
      </c>
      <c r="K23" s="87" t="s">
        <v>124</v>
      </c>
      <c r="L23" s="88" t="s">
        <v>124</v>
      </c>
      <c r="M23" s="89" t="s">
        <v>124</v>
      </c>
    </row>
    <row r="24" spans="2:13" ht="17.25" customHeight="1">
      <c r="B24" s="553" t="s">
        <v>125</v>
      </c>
      <c r="C24" s="554"/>
      <c r="D24" s="87"/>
      <c r="E24" s="88"/>
      <c r="F24" s="88" t="s">
        <v>126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127</v>
      </c>
      <c r="C25" s="556"/>
      <c r="D25" s="90"/>
      <c r="E25" s="91" t="s">
        <v>128</v>
      </c>
      <c r="F25" s="549" t="s">
        <v>129</v>
      </c>
      <c r="G25" s="550"/>
      <c r="H25" s="91" t="s">
        <v>130</v>
      </c>
      <c r="I25" s="91" t="s">
        <v>131</v>
      </c>
      <c r="J25" s="92" t="s">
        <v>130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8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3"/>
  <sheetViews>
    <sheetView zoomScale="80" zoomScaleNormal="80" workbookViewId="0">
      <pane ySplit="4" topLeftCell="A30" activePane="bottomLeft" state="frozen"/>
      <selection pane="bottomLeft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1424</v>
      </c>
      <c r="B1" s="1"/>
      <c r="C1" s="2" t="s">
        <v>1425</v>
      </c>
      <c r="D1" s="3">
        <f>SUM(F5:F72)</f>
        <v>192097</v>
      </c>
      <c r="E1" s="330" t="s">
        <v>1426</v>
      </c>
      <c r="F1" s="1">
        <f>SUM(G5:G72)</f>
        <v>6675568.4600000009</v>
      </c>
      <c r="G1" s="1" t="s">
        <v>1427</v>
      </c>
      <c r="H1" s="4">
        <f>L8+L13+L51+L59+L21+L65+L38+L46+L30+L72</f>
        <v>155.95952380952383</v>
      </c>
      <c r="I1" s="663" t="s">
        <v>1428</v>
      </c>
      <c r="J1" s="663"/>
      <c r="K1" s="663"/>
      <c r="L1" s="663" t="s">
        <v>1429</v>
      </c>
      <c r="M1" s="663"/>
      <c r="N1" s="663"/>
      <c r="O1" s="663" t="s">
        <v>1430</v>
      </c>
      <c r="P1" s="663"/>
      <c r="Q1" s="663"/>
      <c r="R1" s="663"/>
      <c r="S1" s="663" t="s">
        <v>1431</v>
      </c>
      <c r="T1" s="663"/>
      <c r="U1" s="663"/>
      <c r="V1" s="663"/>
      <c r="W1" s="663"/>
      <c r="X1" s="663"/>
      <c r="Y1" s="5" t="s">
        <v>1432</v>
      </c>
      <c r="Z1" s="6" t="s">
        <v>1433</v>
      </c>
      <c r="AA1" s="664" t="s">
        <v>1434</v>
      </c>
      <c r="AB1" s="664"/>
      <c r="AC1" s="94" t="s">
        <v>1432</v>
      </c>
      <c r="AD1" s="6" t="s">
        <v>1435</v>
      </c>
      <c r="AE1" s="663" t="s">
        <v>1436</v>
      </c>
      <c r="AF1" s="665"/>
      <c r="AG1" s="665"/>
    </row>
    <row r="2" spans="1:33" ht="26.25" customHeight="1">
      <c r="A2" s="27">
        <v>46189</v>
      </c>
      <c r="B2" s="28" t="s">
        <v>238</v>
      </c>
      <c r="C2" s="2" t="s">
        <v>1437</v>
      </c>
      <c r="D2" s="8">
        <f>AVERAGE(N8,N13,N51,N59,N21,N65,N30,N38,N46,N72)</f>
        <v>146.38469673536292</v>
      </c>
      <c r="E2" s="9" t="s">
        <v>0</v>
      </c>
      <c r="F2" s="10">
        <f>F1/D1</f>
        <v>34.75102921961301</v>
      </c>
      <c r="G2" s="1" t="s">
        <v>1438</v>
      </c>
      <c r="H2" s="336">
        <f>COUNT(H5:H72)</f>
        <v>7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SUM(Y8+Y13+Y21+Y30+Y38+Y46+Y51+Y59+Y65+Y72)</f>
        <v>0</v>
      </c>
      <c r="Z2" s="11">
        <f>SUM(Z8+Z13+Z21+Z30+Z38+Z46+Z51+Z59+Z65+Z72)</f>
        <v>0</v>
      </c>
      <c r="AA2" s="664"/>
      <c r="AB2" s="664"/>
      <c r="AC2" s="95">
        <v>58</v>
      </c>
      <c r="AD2" s="11">
        <f>SUM(AD8+AD13+AD21+AD30+AD38+AD46+AD51+AD59+AD65+AD72)</f>
        <v>0</v>
      </c>
      <c r="AE2" s="665"/>
      <c r="AF2" s="665"/>
      <c r="AG2" s="665"/>
    </row>
    <row r="3" spans="1:33" ht="40.5" customHeight="1">
      <c r="A3" s="617" t="s">
        <v>1439</v>
      </c>
      <c r="B3" s="617" t="s">
        <v>1440</v>
      </c>
      <c r="C3" s="617" t="s">
        <v>1441</v>
      </c>
      <c r="D3" s="617"/>
      <c r="E3" s="661" t="s">
        <v>1442</v>
      </c>
      <c r="F3" s="617" t="s">
        <v>1443</v>
      </c>
      <c r="G3" s="661" t="s">
        <v>1444</v>
      </c>
      <c r="H3" s="654" t="s">
        <v>1445</v>
      </c>
      <c r="I3" s="652" t="s">
        <v>1446</v>
      </c>
      <c r="J3" s="649" t="s">
        <v>1447</v>
      </c>
      <c r="K3" s="659" t="s">
        <v>1437</v>
      </c>
      <c r="L3" s="652" t="s">
        <v>1446</v>
      </c>
      <c r="M3" s="649" t="s">
        <v>1447</v>
      </c>
      <c r="N3" s="659" t="s">
        <v>1437</v>
      </c>
      <c r="O3" s="652" t="s">
        <v>1446</v>
      </c>
      <c r="P3" s="659" t="s">
        <v>1437</v>
      </c>
      <c r="Q3" s="650" t="s">
        <v>1448</v>
      </c>
      <c r="R3" s="630" t="s">
        <v>1449</v>
      </c>
      <c r="S3" s="660" t="s">
        <v>1</v>
      </c>
      <c r="T3" s="660"/>
      <c r="U3" s="654" t="s">
        <v>2</v>
      </c>
      <c r="V3" s="654" t="s">
        <v>1450</v>
      </c>
      <c r="W3" s="617" t="s">
        <v>1451</v>
      </c>
      <c r="X3" s="617"/>
      <c r="Y3" s="655" t="s">
        <v>1452</v>
      </c>
      <c r="Z3" s="614"/>
      <c r="AA3" s="656" t="s">
        <v>1453</v>
      </c>
      <c r="AB3" s="657"/>
      <c r="AC3" s="655" t="s">
        <v>1454</v>
      </c>
      <c r="AD3" s="614"/>
      <c r="AE3" s="649" t="s">
        <v>1455</v>
      </c>
      <c r="AF3" s="650" t="s">
        <v>1456</v>
      </c>
      <c r="AG3" s="630" t="s">
        <v>1449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335" t="s">
        <v>3</v>
      </c>
      <c r="T4" s="335" t="s">
        <v>4</v>
      </c>
      <c r="U4" s="654"/>
      <c r="V4" s="654"/>
      <c r="W4" s="330" t="s">
        <v>1457</v>
      </c>
      <c r="X4" s="330" t="s">
        <v>1458</v>
      </c>
      <c r="Y4" s="329" t="s">
        <v>1459</v>
      </c>
      <c r="Z4" s="329" t="s">
        <v>1460</v>
      </c>
      <c r="AA4" s="658"/>
      <c r="AB4" s="657"/>
      <c r="AC4" s="329" t="s">
        <v>1461</v>
      </c>
      <c r="AD4" s="329" t="s">
        <v>1462</v>
      </c>
      <c r="AE4" s="649"/>
      <c r="AF4" s="650"/>
      <c r="AG4" s="630"/>
    </row>
    <row r="5" spans="1:33">
      <c r="A5" s="651" t="s">
        <v>1463</v>
      </c>
      <c r="B5" s="29" t="s">
        <v>15</v>
      </c>
      <c r="C5" s="653" t="s">
        <v>17</v>
      </c>
      <c r="D5" s="653"/>
      <c r="E5" s="29">
        <v>50.67</v>
      </c>
      <c r="F5" s="335">
        <v>1469</v>
      </c>
      <c r="G5" s="330">
        <f t="shared" ref="G5:G7" si="0">E5*F5</f>
        <v>74434.23</v>
      </c>
      <c r="H5" s="33" t="s">
        <v>57</v>
      </c>
      <c r="I5" s="333">
        <v>15</v>
      </c>
      <c r="J5" s="31">
        <v>2000</v>
      </c>
      <c r="K5" s="12">
        <f t="shared" ref="K5:K68" si="1">J5/I5</f>
        <v>133.33333333333334</v>
      </c>
      <c r="L5" s="333">
        <v>15</v>
      </c>
      <c r="M5" s="13">
        <f t="shared" ref="M5:M7" si="2">F5/V5*60</f>
        <v>1916.0869565217392</v>
      </c>
      <c r="N5" s="12">
        <f t="shared" ref="N5:N68" si="3">M5/L5</f>
        <v>127.73913043478261</v>
      </c>
      <c r="O5" s="14">
        <f t="shared" ref="O5:O68" si="4">L5-I5</f>
        <v>0</v>
      </c>
      <c r="P5" s="15">
        <f t="shared" ref="P5:P68" si="5">N5-K5</f>
        <v>-5.5942028985507335</v>
      </c>
      <c r="Q5" s="331">
        <f t="shared" ref="Q5:Q68" si="6">N5/K5</f>
        <v>0.95804347826086955</v>
      </c>
      <c r="R5" s="615">
        <f>Q8</f>
        <v>0.95671464496062419</v>
      </c>
      <c r="S5" s="34">
        <v>0.70833333333333337</v>
      </c>
      <c r="T5" s="34">
        <v>0.74027777777777781</v>
      </c>
      <c r="U5" s="330"/>
      <c r="V5" s="334">
        <f t="shared" ref="V5:V7" si="7">(T5-S5)*24*60</f>
        <v>46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8" si="8">M5-J5</f>
        <v>-83.913043478260761</v>
      </c>
      <c r="AF5" s="331">
        <f t="shared" ref="AF5:AF68" si="9">M5/J5</f>
        <v>0.95804347826086966</v>
      </c>
      <c r="AG5" s="615">
        <f>AF8</f>
        <v>0.95671464496062419</v>
      </c>
    </row>
    <row r="6" spans="1:33">
      <c r="A6" s="652" t="s">
        <v>1463</v>
      </c>
      <c r="B6" s="29" t="s">
        <v>15</v>
      </c>
      <c r="C6" s="653" t="s">
        <v>26</v>
      </c>
      <c r="D6" s="653"/>
      <c r="E6" s="29">
        <v>50.92</v>
      </c>
      <c r="F6" s="335">
        <v>2288</v>
      </c>
      <c r="G6" s="330">
        <f t="shared" si="0"/>
        <v>116504.96000000001</v>
      </c>
      <c r="H6" s="33" t="s">
        <v>57</v>
      </c>
      <c r="I6" s="333">
        <v>15</v>
      </c>
      <c r="J6" s="31">
        <v>2000</v>
      </c>
      <c r="K6" s="12">
        <f t="shared" si="1"/>
        <v>133.33333333333334</v>
      </c>
      <c r="L6" s="333">
        <v>15</v>
      </c>
      <c r="M6" s="13">
        <f t="shared" si="2"/>
        <v>1906.6666666666652</v>
      </c>
      <c r="N6" s="12">
        <f t="shared" si="3"/>
        <v>127.11111111111101</v>
      </c>
      <c r="O6" s="14">
        <f t="shared" si="4"/>
        <v>0</v>
      </c>
      <c r="P6" s="15">
        <f t="shared" si="5"/>
        <v>-6.222222222222328</v>
      </c>
      <c r="Q6" s="331">
        <f t="shared" si="6"/>
        <v>0.95333333333333259</v>
      </c>
      <c r="R6" s="615"/>
      <c r="S6" s="34">
        <v>0.74444444444444446</v>
      </c>
      <c r="T6" s="34">
        <v>0.79444444444444451</v>
      </c>
      <c r="U6" s="330">
        <f t="shared" ref="U6:U7" si="10">IF(S6=TIME(17,0,0),"",(S6-T5)*24*60)</f>
        <v>5.9999999999999787</v>
      </c>
      <c r="V6" s="334">
        <f t="shared" si="7"/>
        <v>72.000000000000057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-93.333333333334849</v>
      </c>
      <c r="AF6" s="331">
        <f t="shared" si="9"/>
        <v>0.95333333333333259</v>
      </c>
      <c r="AG6" s="615"/>
    </row>
    <row r="7" spans="1:33">
      <c r="A7" s="652" t="s">
        <v>1463</v>
      </c>
      <c r="B7" s="29" t="s">
        <v>15</v>
      </c>
      <c r="C7" s="644" t="s">
        <v>31</v>
      </c>
      <c r="D7" s="645"/>
      <c r="E7" s="29">
        <v>50.98</v>
      </c>
      <c r="F7" s="335">
        <v>2333</v>
      </c>
      <c r="G7" s="330">
        <f t="shared" si="0"/>
        <v>118936.34</v>
      </c>
      <c r="H7" s="33" t="s">
        <v>57</v>
      </c>
      <c r="I7" s="333">
        <v>16</v>
      </c>
      <c r="J7" s="31">
        <v>2000</v>
      </c>
      <c r="K7" s="12">
        <f t="shared" si="1"/>
        <v>125</v>
      </c>
      <c r="L7" s="333">
        <v>16</v>
      </c>
      <c r="M7" s="13">
        <f t="shared" si="2"/>
        <v>1917.5342465753411</v>
      </c>
      <c r="N7" s="12">
        <f t="shared" si="3"/>
        <v>119.84589041095882</v>
      </c>
      <c r="O7" s="14">
        <f t="shared" si="4"/>
        <v>0</v>
      </c>
      <c r="P7" s="15">
        <f t="shared" si="5"/>
        <v>-5.1541095890411839</v>
      </c>
      <c r="Q7" s="331">
        <f t="shared" si="6"/>
        <v>0.95876712328767055</v>
      </c>
      <c r="R7" s="615"/>
      <c r="S7" s="34">
        <v>0.8</v>
      </c>
      <c r="T7" s="34">
        <v>0.85069444444444453</v>
      </c>
      <c r="U7" s="330">
        <f t="shared" si="10"/>
        <v>7.9999999999999716</v>
      </c>
      <c r="V7" s="334">
        <f t="shared" si="7"/>
        <v>73.000000000000057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-82.465753424658942</v>
      </c>
      <c r="AF7" s="331">
        <f t="shared" si="9"/>
        <v>0.95876712328767055</v>
      </c>
      <c r="AG7" s="615"/>
    </row>
    <row r="8" spans="1:33">
      <c r="A8" s="652" t="s">
        <v>1463</v>
      </c>
      <c r="B8" s="29" t="s">
        <v>1464</v>
      </c>
      <c r="C8" s="618"/>
      <c r="D8" s="618"/>
      <c r="E8" s="332"/>
      <c r="F8" s="30"/>
      <c r="G8" s="12"/>
      <c r="H8" s="335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1913.4292899212485</v>
      </c>
      <c r="N8" s="12">
        <f t="shared" si="3"/>
        <v>124.78886673399447</v>
      </c>
      <c r="O8" s="14">
        <f t="shared" si="4"/>
        <v>0</v>
      </c>
      <c r="P8" s="15">
        <f t="shared" si="5"/>
        <v>-5.6459158747011884</v>
      </c>
      <c r="Q8" s="331">
        <f t="shared" si="6"/>
        <v>0.95671464496062419</v>
      </c>
      <c r="R8" s="615"/>
      <c r="S8" s="34"/>
      <c r="T8" s="34"/>
      <c r="U8" s="330"/>
      <c r="V8" s="334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-86.570710078751517</v>
      </c>
      <c r="AF8" s="331">
        <f t="shared" si="9"/>
        <v>0.95671464496062419</v>
      </c>
      <c r="AG8" s="615"/>
    </row>
    <row r="9" spans="1:33" ht="15.75" customHeight="1">
      <c r="A9" s="648" t="s">
        <v>1465</v>
      </c>
      <c r="B9" s="29" t="s">
        <v>19</v>
      </c>
      <c r="C9" s="644" t="s">
        <v>20</v>
      </c>
      <c r="D9" s="645"/>
      <c r="E9" s="29">
        <v>39.619999999999997</v>
      </c>
      <c r="F9" s="335">
        <v>5123</v>
      </c>
      <c r="G9" s="330">
        <f t="shared" ref="G9:G12" si="11">E9*F9</f>
        <v>202973.25999999998</v>
      </c>
      <c r="H9" s="33" t="s">
        <v>57</v>
      </c>
      <c r="I9" s="333">
        <v>19</v>
      </c>
      <c r="J9" s="31">
        <v>1500</v>
      </c>
      <c r="K9" s="12">
        <f t="shared" si="1"/>
        <v>78.94736842105263</v>
      </c>
      <c r="L9" s="333">
        <v>19</v>
      </c>
      <c r="M9" s="13">
        <f t="shared" ref="M9:M12" si="12">F9/V9*60</f>
        <v>1429.6744186046508</v>
      </c>
      <c r="N9" s="12">
        <f t="shared" si="3"/>
        <v>75.246022031823728</v>
      </c>
      <c r="O9" s="14">
        <f t="shared" si="4"/>
        <v>0</v>
      </c>
      <c r="P9" s="15">
        <f t="shared" si="5"/>
        <v>-3.7013463892289025</v>
      </c>
      <c r="Q9" s="331">
        <f t="shared" si="6"/>
        <v>0.95311627906976726</v>
      </c>
      <c r="R9" s="615">
        <f>Q13</f>
        <v>0.95482766073659331</v>
      </c>
      <c r="S9" s="34">
        <v>8.3333333333333329E-2</v>
      </c>
      <c r="T9" s="34">
        <v>0.2326388888888889</v>
      </c>
      <c r="U9" s="330"/>
      <c r="V9" s="334">
        <f t="shared" ref="V9:V12" si="13">(T9-S9)*24*60</f>
        <v>215.00000000000003</v>
      </c>
      <c r="W9" s="16">
        <f>T9</f>
        <v>0.2326388888888889</v>
      </c>
      <c r="X9" s="16">
        <f>S10</f>
        <v>0.25347222222222221</v>
      </c>
      <c r="Y9" s="16"/>
      <c r="Z9" s="16"/>
      <c r="AA9" s="617"/>
      <c r="AB9" s="617"/>
      <c r="AC9" s="35">
        <v>4</v>
      </c>
      <c r="AD9" s="18"/>
      <c r="AE9" s="14">
        <f t="shared" si="8"/>
        <v>-70.325581395349218</v>
      </c>
      <c r="AF9" s="331">
        <f t="shared" si="9"/>
        <v>0.95311627906976715</v>
      </c>
      <c r="AG9" s="615">
        <f>AF13</f>
        <v>0.95482766073659331</v>
      </c>
    </row>
    <row r="10" spans="1:33" ht="15.75" customHeight="1">
      <c r="A10" s="648" t="s">
        <v>1465</v>
      </c>
      <c r="B10" s="29" t="s">
        <v>19</v>
      </c>
      <c r="C10" s="644" t="s">
        <v>83</v>
      </c>
      <c r="D10" s="645"/>
      <c r="E10" s="29">
        <v>39.46</v>
      </c>
      <c r="F10" s="335">
        <v>4625</v>
      </c>
      <c r="G10" s="330">
        <f t="shared" si="11"/>
        <v>182502.5</v>
      </c>
      <c r="H10" s="33" t="s">
        <v>57</v>
      </c>
      <c r="I10" s="333">
        <v>16</v>
      </c>
      <c r="J10" s="31">
        <v>1500</v>
      </c>
      <c r="K10" s="12">
        <f t="shared" si="1"/>
        <v>93.75</v>
      </c>
      <c r="L10" s="333">
        <v>16</v>
      </c>
      <c r="M10" s="13">
        <f t="shared" si="12"/>
        <v>1430.412371134021</v>
      </c>
      <c r="N10" s="12">
        <f t="shared" si="3"/>
        <v>89.400773195876312</v>
      </c>
      <c r="O10" s="14">
        <f t="shared" si="4"/>
        <v>0</v>
      </c>
      <c r="P10" s="15">
        <f t="shared" si="5"/>
        <v>-4.3492268041236883</v>
      </c>
      <c r="Q10" s="331">
        <f t="shared" si="6"/>
        <v>0.95360824742268069</v>
      </c>
      <c r="R10" s="615"/>
      <c r="S10" s="34">
        <v>0.25347222222222221</v>
      </c>
      <c r="T10" s="34">
        <v>0.3881944444444444</v>
      </c>
      <c r="U10" s="330">
        <f t="shared" ref="U10:U12" si="14">IF(S10=TIME(17,0,0),"",(S10-T9)*24*60)</f>
        <v>29.999999999999972</v>
      </c>
      <c r="V10" s="334">
        <f t="shared" si="13"/>
        <v>193.99999999999994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-69.587628865979013</v>
      </c>
      <c r="AF10" s="331">
        <f t="shared" si="9"/>
        <v>0.95360824742268069</v>
      </c>
      <c r="AG10" s="615"/>
    </row>
    <row r="11" spans="1:33" ht="15.75" customHeight="1">
      <c r="A11" s="648" t="s">
        <v>1465</v>
      </c>
      <c r="B11" s="29" t="s">
        <v>19</v>
      </c>
      <c r="C11" s="644" t="s">
        <v>21</v>
      </c>
      <c r="D11" s="645"/>
      <c r="E11" s="29">
        <v>39.799999999999997</v>
      </c>
      <c r="F11" s="335">
        <v>4100</v>
      </c>
      <c r="G11" s="330">
        <f t="shared" si="11"/>
        <v>163180</v>
      </c>
      <c r="H11" s="33">
        <v>2</v>
      </c>
      <c r="I11" s="333">
        <v>17</v>
      </c>
      <c r="J11" s="31">
        <v>1500</v>
      </c>
      <c r="K11" s="12">
        <f t="shared" si="1"/>
        <v>88.235294117647058</v>
      </c>
      <c r="L11" s="333">
        <v>17</v>
      </c>
      <c r="M11" s="13">
        <f t="shared" si="12"/>
        <v>1430.2325581395346</v>
      </c>
      <c r="N11" s="12">
        <f t="shared" si="3"/>
        <v>84.131326949384388</v>
      </c>
      <c r="O11" s="14">
        <f t="shared" si="4"/>
        <v>0</v>
      </c>
      <c r="P11" s="15">
        <f t="shared" si="5"/>
        <v>-4.1039671682626704</v>
      </c>
      <c r="Q11" s="331">
        <f t="shared" si="6"/>
        <v>0.95348837209302306</v>
      </c>
      <c r="R11" s="615"/>
      <c r="S11" s="34">
        <v>0.39166666666666661</v>
      </c>
      <c r="T11" s="34">
        <v>0.51111111111111107</v>
      </c>
      <c r="U11" s="330">
        <f t="shared" si="14"/>
        <v>4.9999999999999822</v>
      </c>
      <c r="V11" s="334">
        <f t="shared" si="13"/>
        <v>172.00000000000003</v>
      </c>
      <c r="W11" s="16">
        <f>T11</f>
        <v>0.51111111111111107</v>
      </c>
      <c r="X11" s="16">
        <f>S12</f>
        <v>0.55138888888888882</v>
      </c>
      <c r="Y11" s="16"/>
      <c r="Z11" s="16"/>
      <c r="AA11" s="617"/>
      <c r="AB11" s="617"/>
      <c r="AC11" s="35"/>
      <c r="AD11" s="18"/>
      <c r="AE11" s="14">
        <f t="shared" si="8"/>
        <v>-69.767441860465397</v>
      </c>
      <c r="AF11" s="331">
        <f t="shared" si="9"/>
        <v>0.95348837209302306</v>
      </c>
      <c r="AG11" s="615"/>
    </row>
    <row r="12" spans="1:33" ht="15.75" customHeight="1">
      <c r="A12" s="648" t="s">
        <v>1465</v>
      </c>
      <c r="B12" s="29" t="s">
        <v>19</v>
      </c>
      <c r="C12" s="644" t="s">
        <v>21</v>
      </c>
      <c r="D12" s="645"/>
      <c r="E12" s="29">
        <v>39.799999999999997</v>
      </c>
      <c r="F12" s="335">
        <v>3189</v>
      </c>
      <c r="G12" s="330">
        <f t="shared" si="11"/>
        <v>126922.2</v>
      </c>
      <c r="H12" s="33" t="s">
        <v>57</v>
      </c>
      <c r="I12" s="333">
        <v>17</v>
      </c>
      <c r="J12" s="31">
        <v>1500</v>
      </c>
      <c r="K12" s="12">
        <f t="shared" si="1"/>
        <v>88.235294117647058</v>
      </c>
      <c r="L12" s="333">
        <v>17</v>
      </c>
      <c r="M12" s="13">
        <f t="shared" si="12"/>
        <v>1438.6466165413535</v>
      </c>
      <c r="N12" s="12">
        <f t="shared" si="3"/>
        <v>84.62627156125609</v>
      </c>
      <c r="O12" s="14">
        <f t="shared" si="4"/>
        <v>0</v>
      </c>
      <c r="P12" s="15">
        <f t="shared" si="5"/>
        <v>-3.6090225563909684</v>
      </c>
      <c r="Q12" s="331">
        <f t="shared" si="6"/>
        <v>0.95909774436090234</v>
      </c>
      <c r="R12" s="615"/>
      <c r="S12" s="34">
        <v>0.55138888888888882</v>
      </c>
      <c r="T12" s="34">
        <v>0.64374999999999993</v>
      </c>
      <c r="U12" s="330">
        <f t="shared" si="14"/>
        <v>57.999999999999957</v>
      </c>
      <c r="V12" s="334">
        <f t="shared" si="13"/>
        <v>133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-61.353383458646476</v>
      </c>
      <c r="AF12" s="331">
        <f t="shared" si="9"/>
        <v>0.95909774436090234</v>
      </c>
      <c r="AG12" s="615"/>
    </row>
    <row r="13" spans="1:33" ht="16.5" customHeight="1">
      <c r="A13" s="648" t="s">
        <v>1465</v>
      </c>
      <c r="B13" s="29" t="s">
        <v>1464</v>
      </c>
      <c r="C13" s="618"/>
      <c r="D13" s="618"/>
      <c r="E13" s="332"/>
      <c r="F13" s="31"/>
      <c r="G13" s="13"/>
      <c r="H13" s="335"/>
      <c r="I13" s="23">
        <v>17.25</v>
      </c>
      <c r="J13" s="31">
        <v>1500</v>
      </c>
      <c r="K13" s="12">
        <f t="shared" si="1"/>
        <v>86.956521739130437</v>
      </c>
      <c r="L13" s="23">
        <v>17.25</v>
      </c>
      <c r="M13" s="13">
        <f>AVERAGE(M9:M12)</f>
        <v>1432.24149110489</v>
      </c>
      <c r="N13" s="12">
        <f t="shared" si="3"/>
        <v>83.028492237964642</v>
      </c>
      <c r="O13" s="14">
        <f t="shared" si="4"/>
        <v>0</v>
      </c>
      <c r="P13" s="15">
        <f t="shared" si="5"/>
        <v>-3.9280295011657955</v>
      </c>
      <c r="Q13" s="331">
        <f t="shared" si="6"/>
        <v>0.95482766073659331</v>
      </c>
      <c r="R13" s="615"/>
      <c r="S13" s="34"/>
      <c r="T13" s="34"/>
      <c r="U13" s="12"/>
      <c r="V13" s="334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-67.758508895110026</v>
      </c>
      <c r="AF13" s="331">
        <f t="shared" si="9"/>
        <v>0.95482766073659331</v>
      </c>
      <c r="AG13" s="615"/>
    </row>
    <row r="14" spans="1:33" ht="16.5" customHeight="1">
      <c r="A14" s="646" t="s">
        <v>1466</v>
      </c>
      <c r="B14" s="335" t="s">
        <v>22</v>
      </c>
      <c r="C14" s="640" t="s">
        <v>23</v>
      </c>
      <c r="D14" s="640"/>
      <c r="E14" s="29">
        <v>41</v>
      </c>
      <c r="F14" s="335">
        <v>2412</v>
      </c>
      <c r="G14" s="330">
        <f t="shared" ref="G14:G20" si="15">E14*F14</f>
        <v>98892</v>
      </c>
      <c r="H14" s="33" t="s">
        <v>57</v>
      </c>
      <c r="I14" s="333">
        <v>26</v>
      </c>
      <c r="J14" s="31">
        <v>1500</v>
      </c>
      <c r="K14" s="12">
        <f t="shared" si="1"/>
        <v>57.692307692307693</v>
      </c>
      <c r="L14" s="333">
        <v>26</v>
      </c>
      <c r="M14" s="13">
        <f t="shared" ref="M14:M20" si="16">F14/V14*60</f>
        <v>1432.8712871287125</v>
      </c>
      <c r="N14" s="12">
        <f t="shared" si="3"/>
        <v>55.1104341203351</v>
      </c>
      <c r="O14" s="14">
        <f t="shared" si="4"/>
        <v>0</v>
      </c>
      <c r="P14" s="15">
        <f t="shared" si="5"/>
        <v>-2.5818735719725936</v>
      </c>
      <c r="Q14" s="331">
        <f t="shared" si="6"/>
        <v>0.9552475247524751</v>
      </c>
      <c r="R14" s="615">
        <f>Q21</f>
        <v>0.96016518698264686</v>
      </c>
      <c r="S14" s="34">
        <v>8.3333333333333329E-2</v>
      </c>
      <c r="T14" s="34">
        <v>0.15347222222222223</v>
      </c>
      <c r="U14" s="330"/>
      <c r="V14" s="334">
        <f t="shared" ref="V14:V20" si="17">(T14-S14)*24*60</f>
        <v>101.00000000000001</v>
      </c>
      <c r="W14" s="16">
        <f>T14</f>
        <v>0.15347222222222223</v>
      </c>
      <c r="X14" s="16">
        <f>S15</f>
        <v>0.17152777777777778</v>
      </c>
      <c r="Y14" s="21"/>
      <c r="Z14" s="21"/>
      <c r="AA14" s="617"/>
      <c r="AB14" s="617"/>
      <c r="AC14" s="35">
        <v>7</v>
      </c>
      <c r="AD14" s="18"/>
      <c r="AE14" s="14">
        <f t="shared" si="8"/>
        <v>-67.128712871287462</v>
      </c>
      <c r="AF14" s="331">
        <f t="shared" si="9"/>
        <v>0.95524752475247499</v>
      </c>
      <c r="AG14" s="615">
        <f>AF21</f>
        <v>0.96016518698264697</v>
      </c>
    </row>
    <row r="15" spans="1:33" ht="16.5" customHeight="1">
      <c r="A15" s="647" t="s">
        <v>1467</v>
      </c>
      <c r="B15" s="335" t="s">
        <v>22</v>
      </c>
      <c r="C15" s="640" t="s">
        <v>87</v>
      </c>
      <c r="D15" s="640"/>
      <c r="E15" s="29">
        <v>38.619999999999997</v>
      </c>
      <c r="F15" s="335">
        <v>2799</v>
      </c>
      <c r="G15" s="330">
        <f t="shared" si="15"/>
        <v>108097.37999999999</v>
      </c>
      <c r="H15" s="33" t="s">
        <v>57</v>
      </c>
      <c r="I15" s="333">
        <v>24</v>
      </c>
      <c r="J15" s="31">
        <v>1500</v>
      </c>
      <c r="K15" s="12">
        <f t="shared" si="1"/>
        <v>62.5</v>
      </c>
      <c r="L15" s="333">
        <v>24</v>
      </c>
      <c r="M15" s="13">
        <f t="shared" si="16"/>
        <v>1435.3846153846157</v>
      </c>
      <c r="N15" s="12">
        <f t="shared" si="3"/>
        <v>59.807692307692321</v>
      </c>
      <c r="O15" s="14">
        <f t="shared" si="4"/>
        <v>0</v>
      </c>
      <c r="P15" s="15">
        <f t="shared" si="5"/>
        <v>-2.6923076923076792</v>
      </c>
      <c r="Q15" s="331">
        <f t="shared" si="6"/>
        <v>0.9569230769230771</v>
      </c>
      <c r="R15" s="615"/>
      <c r="S15" s="34">
        <v>0.17152777777777778</v>
      </c>
      <c r="T15" s="34">
        <v>0.25277777777777777</v>
      </c>
      <c r="U15" s="330">
        <f t="shared" ref="U15:U20" si="18">IF(S15=TIME(17,0,0),"",(S15-T14)*24*60)</f>
        <v>25.999999999999986</v>
      </c>
      <c r="V15" s="334">
        <f t="shared" si="17"/>
        <v>116.99999999999999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-64.615384615384301</v>
      </c>
      <c r="AF15" s="331">
        <f t="shared" si="9"/>
        <v>0.9569230769230771</v>
      </c>
      <c r="AG15" s="615"/>
    </row>
    <row r="16" spans="1:33" ht="16.5" customHeight="1">
      <c r="A16" s="647" t="s">
        <v>1467</v>
      </c>
      <c r="B16" s="335" t="s">
        <v>15</v>
      </c>
      <c r="C16" s="640" t="s">
        <v>86</v>
      </c>
      <c r="D16" s="640"/>
      <c r="E16" s="29">
        <v>37.03</v>
      </c>
      <c r="F16" s="335">
        <v>3709</v>
      </c>
      <c r="G16" s="330">
        <f t="shared" si="15"/>
        <v>137344.27000000002</v>
      </c>
      <c r="H16" s="33" t="s">
        <v>57</v>
      </c>
      <c r="I16" s="333">
        <v>13</v>
      </c>
      <c r="J16" s="31">
        <v>1500</v>
      </c>
      <c r="K16" s="12">
        <f t="shared" si="1"/>
        <v>115.38461538461539</v>
      </c>
      <c r="L16" s="333">
        <v>13</v>
      </c>
      <c r="M16" s="13">
        <f t="shared" si="16"/>
        <v>1435.741935483871</v>
      </c>
      <c r="N16" s="12">
        <f t="shared" si="3"/>
        <v>110.44168734491315</v>
      </c>
      <c r="O16" s="14">
        <f t="shared" si="4"/>
        <v>0</v>
      </c>
      <c r="P16" s="15">
        <f t="shared" si="5"/>
        <v>-4.9429280397022382</v>
      </c>
      <c r="Q16" s="331">
        <f t="shared" si="6"/>
        <v>0.95716129032258057</v>
      </c>
      <c r="R16" s="615"/>
      <c r="S16" s="34">
        <v>0.25694444444444442</v>
      </c>
      <c r="T16" s="34">
        <v>0.36458333333333331</v>
      </c>
      <c r="U16" s="330">
        <f t="shared" si="18"/>
        <v>5.9999999999999787</v>
      </c>
      <c r="V16" s="334">
        <f t="shared" si="17"/>
        <v>155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-64.258064516129025</v>
      </c>
      <c r="AF16" s="331">
        <f t="shared" si="9"/>
        <v>0.95716129032258068</v>
      </c>
      <c r="AG16" s="615"/>
    </row>
    <row r="17" spans="1:33" ht="16.5" customHeight="1">
      <c r="A17" s="647" t="s">
        <v>1466</v>
      </c>
      <c r="B17" s="335" t="s">
        <v>19</v>
      </c>
      <c r="C17" s="640" t="s">
        <v>267</v>
      </c>
      <c r="D17" s="640"/>
      <c r="E17" s="29">
        <v>39.520000000000003</v>
      </c>
      <c r="F17" s="335">
        <v>3493</v>
      </c>
      <c r="G17" s="330">
        <f t="shared" si="15"/>
        <v>138043.36000000002</v>
      </c>
      <c r="H17" s="33" t="s">
        <v>57</v>
      </c>
      <c r="I17" s="333">
        <v>19</v>
      </c>
      <c r="J17" s="31">
        <v>1500</v>
      </c>
      <c r="K17" s="12">
        <f t="shared" si="1"/>
        <v>78.94736842105263</v>
      </c>
      <c r="L17" s="333">
        <v>19</v>
      </c>
      <c r="M17" s="13">
        <f t="shared" si="16"/>
        <v>1435.4794520547948</v>
      </c>
      <c r="N17" s="12">
        <f t="shared" si="3"/>
        <v>75.551550108147097</v>
      </c>
      <c r="O17" s="14">
        <f t="shared" si="4"/>
        <v>0</v>
      </c>
      <c r="P17" s="15">
        <f t="shared" si="5"/>
        <v>-3.3958183129055328</v>
      </c>
      <c r="Q17" s="331">
        <f t="shared" si="6"/>
        <v>0.95698630136986329</v>
      </c>
      <c r="R17" s="615"/>
      <c r="S17" s="34">
        <v>0.36944444444444441</v>
      </c>
      <c r="T17" s="34">
        <v>0.47083333333333327</v>
      </c>
      <c r="U17" s="330">
        <f t="shared" si="18"/>
        <v>6.9999999999999751</v>
      </c>
      <c r="V17" s="334">
        <f t="shared" si="17"/>
        <v>145.99999999999997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-64.52054794520518</v>
      </c>
      <c r="AF17" s="331">
        <f t="shared" si="9"/>
        <v>0.95698630136986318</v>
      </c>
      <c r="AG17" s="615"/>
    </row>
    <row r="18" spans="1:33" ht="16.5" customHeight="1">
      <c r="A18" s="647" t="s">
        <v>1467</v>
      </c>
      <c r="B18" s="335" t="s">
        <v>15</v>
      </c>
      <c r="C18" s="640" t="s">
        <v>25</v>
      </c>
      <c r="D18" s="640"/>
      <c r="E18" s="29">
        <v>53.68</v>
      </c>
      <c r="F18" s="335">
        <v>1102</v>
      </c>
      <c r="G18" s="330">
        <f t="shared" si="15"/>
        <v>59155.360000000001</v>
      </c>
      <c r="H18" s="33" t="s">
        <v>57</v>
      </c>
      <c r="I18" s="333">
        <v>16</v>
      </c>
      <c r="J18" s="31">
        <v>1500</v>
      </c>
      <c r="K18" s="12">
        <f t="shared" si="1"/>
        <v>93.75</v>
      </c>
      <c r="L18" s="333">
        <v>16</v>
      </c>
      <c r="M18" s="13">
        <f t="shared" si="16"/>
        <v>1437.391304347826</v>
      </c>
      <c r="N18" s="12">
        <f t="shared" si="3"/>
        <v>89.836956521739125</v>
      </c>
      <c r="O18" s="14">
        <f t="shared" si="4"/>
        <v>0</v>
      </c>
      <c r="P18" s="15">
        <f t="shared" si="5"/>
        <v>-3.9130434782608745</v>
      </c>
      <c r="Q18" s="331">
        <f t="shared" si="6"/>
        <v>0.95826086956521739</v>
      </c>
      <c r="R18" s="615"/>
      <c r="S18" s="34">
        <v>0.70833333333333337</v>
      </c>
      <c r="T18" s="34">
        <v>0.74027777777777781</v>
      </c>
      <c r="U18" s="330" t="str">
        <f t="shared" si="18"/>
        <v/>
      </c>
      <c r="V18" s="334">
        <f t="shared" si="17"/>
        <v>46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-62.608695652173992</v>
      </c>
      <c r="AF18" s="331">
        <f t="shared" si="9"/>
        <v>0.95826086956521739</v>
      </c>
      <c r="AG18" s="615"/>
    </row>
    <row r="19" spans="1:33" ht="16.5" customHeight="1">
      <c r="A19" s="647" t="s">
        <v>1468</v>
      </c>
      <c r="B19" s="335" t="s">
        <v>15</v>
      </c>
      <c r="C19" s="337" t="s">
        <v>18</v>
      </c>
      <c r="D19" s="338"/>
      <c r="E19" s="29">
        <v>52.86</v>
      </c>
      <c r="F19" s="335">
        <v>1346</v>
      </c>
      <c r="G19" s="330">
        <f t="shared" si="15"/>
        <v>71149.56</v>
      </c>
      <c r="H19" s="33" t="s">
        <v>57</v>
      </c>
      <c r="I19" s="333">
        <v>16</v>
      </c>
      <c r="J19" s="31">
        <v>2000</v>
      </c>
      <c r="K19" s="12">
        <f t="shared" si="1"/>
        <v>125</v>
      </c>
      <c r="L19" s="333">
        <v>16</v>
      </c>
      <c r="M19" s="13">
        <f t="shared" si="16"/>
        <v>1922.8571428571422</v>
      </c>
      <c r="N19" s="12">
        <f t="shared" si="3"/>
        <v>120.17857142857139</v>
      </c>
      <c r="O19" s="14">
        <f t="shared" si="4"/>
        <v>0</v>
      </c>
      <c r="P19" s="15">
        <f t="shared" si="5"/>
        <v>-4.821428571428612</v>
      </c>
      <c r="Q19" s="331">
        <f t="shared" si="6"/>
        <v>0.96142857142857108</v>
      </c>
      <c r="R19" s="615"/>
      <c r="S19" s="34">
        <v>0.74583333333333335</v>
      </c>
      <c r="T19" s="34">
        <v>0.77500000000000002</v>
      </c>
      <c r="U19" s="330">
        <f t="shared" si="18"/>
        <v>7.9999999999999716</v>
      </c>
      <c r="V19" s="334">
        <f t="shared" si="17"/>
        <v>42.000000000000014</v>
      </c>
      <c r="W19" s="16"/>
      <c r="X19" s="16"/>
      <c r="Y19" s="19"/>
      <c r="Z19" s="19"/>
      <c r="AA19" s="326"/>
      <c r="AB19" s="327"/>
      <c r="AC19" s="35"/>
      <c r="AD19" s="18"/>
      <c r="AE19" s="14">
        <f t="shared" si="8"/>
        <v>-77.142857142857792</v>
      </c>
      <c r="AF19" s="331">
        <f t="shared" si="9"/>
        <v>0.96142857142857108</v>
      </c>
      <c r="AG19" s="615"/>
    </row>
    <row r="20" spans="1:33" ht="16.5" customHeight="1">
      <c r="A20" s="647" t="s">
        <v>1466</v>
      </c>
      <c r="B20" s="335" t="s">
        <v>15</v>
      </c>
      <c r="C20" s="337" t="s">
        <v>16</v>
      </c>
      <c r="D20" s="338"/>
      <c r="E20" s="29">
        <v>50.67</v>
      </c>
      <c r="F20" s="335">
        <v>1489</v>
      </c>
      <c r="G20" s="330">
        <f t="shared" si="15"/>
        <v>75447.63</v>
      </c>
      <c r="H20" s="33" t="s">
        <v>57</v>
      </c>
      <c r="I20" s="333">
        <v>17</v>
      </c>
      <c r="J20" s="31">
        <v>2000</v>
      </c>
      <c r="K20" s="12">
        <f t="shared" si="1"/>
        <v>117.64705882352941</v>
      </c>
      <c r="L20" s="333">
        <v>17</v>
      </c>
      <c r="M20" s="13">
        <f t="shared" si="16"/>
        <v>1942.1739130434783</v>
      </c>
      <c r="N20" s="12">
        <f t="shared" si="3"/>
        <v>114.24552429667519</v>
      </c>
      <c r="O20" s="14">
        <f t="shared" si="4"/>
        <v>0</v>
      </c>
      <c r="P20" s="15">
        <f t="shared" si="5"/>
        <v>-3.4015345268542205</v>
      </c>
      <c r="Q20" s="331">
        <f t="shared" si="6"/>
        <v>0.97108695652173915</v>
      </c>
      <c r="R20" s="615"/>
      <c r="S20" s="34">
        <v>0.78055555555555556</v>
      </c>
      <c r="T20" s="34">
        <v>0.8125</v>
      </c>
      <c r="U20" s="330">
        <f t="shared" si="18"/>
        <v>7.9999999999999716</v>
      </c>
      <c r="V20" s="334">
        <f t="shared" si="17"/>
        <v>46</v>
      </c>
      <c r="W20" s="16"/>
      <c r="X20" s="16"/>
      <c r="Y20" s="19"/>
      <c r="Z20" s="19"/>
      <c r="AA20" s="326"/>
      <c r="AB20" s="327"/>
      <c r="AC20" s="35"/>
      <c r="AD20" s="18"/>
      <c r="AE20" s="14">
        <f t="shared" si="8"/>
        <v>-57.826086956521749</v>
      </c>
      <c r="AF20" s="331">
        <f t="shared" si="9"/>
        <v>0.97108695652173915</v>
      </c>
      <c r="AG20" s="615"/>
    </row>
    <row r="21" spans="1:33" ht="16.5" customHeight="1">
      <c r="A21" s="647" t="s">
        <v>1467</v>
      </c>
      <c r="B21" s="29" t="s">
        <v>1469</v>
      </c>
      <c r="C21" s="618"/>
      <c r="D21" s="618"/>
      <c r="E21" s="332"/>
      <c r="F21" s="30"/>
      <c r="G21" s="12"/>
      <c r="H21" s="335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1577.4142357572057</v>
      </c>
      <c r="N21" s="12">
        <f t="shared" si="3"/>
        <v>84.289310307636939</v>
      </c>
      <c r="O21" s="14">
        <f t="shared" si="4"/>
        <v>0</v>
      </c>
      <c r="P21" s="15">
        <f t="shared" si="5"/>
        <v>-3.4969492343477953</v>
      </c>
      <c r="Q21" s="331">
        <f t="shared" si="6"/>
        <v>0.96016518698264686</v>
      </c>
      <c r="R21" s="615"/>
      <c r="S21" s="34"/>
      <c r="T21" s="34"/>
      <c r="U21" s="330"/>
      <c r="V21" s="334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-65.442907099937202</v>
      </c>
      <c r="AF21" s="331">
        <f t="shared" si="9"/>
        <v>0.96016518698264697</v>
      </c>
      <c r="AG21" s="615"/>
    </row>
    <row r="22" spans="1:33" ht="15.75" customHeight="1">
      <c r="A22" s="642" t="s">
        <v>1470</v>
      </c>
      <c r="B22" s="29" t="s">
        <v>15</v>
      </c>
      <c r="C22" s="640" t="s">
        <v>24</v>
      </c>
      <c r="D22" s="640"/>
      <c r="E22" s="29">
        <v>54.09</v>
      </c>
      <c r="F22" s="335">
        <v>1434</v>
      </c>
      <c r="G22" s="330">
        <f t="shared" ref="G22:G29" si="19">E22*F22</f>
        <v>77565.06</v>
      </c>
      <c r="H22" s="33" t="s">
        <v>57</v>
      </c>
      <c r="I22" s="333">
        <v>17</v>
      </c>
      <c r="J22" s="31">
        <v>1500</v>
      </c>
      <c r="K22" s="12">
        <f t="shared" si="1"/>
        <v>88.235294117647058</v>
      </c>
      <c r="L22" s="333">
        <v>17</v>
      </c>
      <c r="M22" s="13">
        <f t="shared" ref="M22:M29" si="20">F22/V22*60</f>
        <v>1434.0000000000005</v>
      </c>
      <c r="N22" s="12">
        <f t="shared" si="3"/>
        <v>84.352941176470608</v>
      </c>
      <c r="O22" s="14">
        <f t="shared" si="4"/>
        <v>0</v>
      </c>
      <c r="P22" s="15">
        <f t="shared" si="5"/>
        <v>-3.8823529411764497</v>
      </c>
      <c r="Q22" s="331">
        <f t="shared" si="6"/>
        <v>0.95600000000000018</v>
      </c>
      <c r="R22" s="615">
        <f>Q30</f>
        <v>0.9588482761106929</v>
      </c>
      <c r="S22" s="34">
        <v>0.20833333333333334</v>
      </c>
      <c r="T22" s="34">
        <v>0.25</v>
      </c>
      <c r="U22" s="330"/>
      <c r="V22" s="334">
        <f t="shared" ref="V22:V29" si="21">(T22-S22)*24*60</f>
        <v>59.999999999999986</v>
      </c>
      <c r="W22" s="21"/>
      <c r="X22" s="21"/>
      <c r="Y22" s="21"/>
      <c r="Z22" s="21"/>
      <c r="AA22" s="617"/>
      <c r="AB22" s="617"/>
      <c r="AC22" s="35">
        <v>8</v>
      </c>
      <c r="AD22" s="18"/>
      <c r="AE22" s="14">
        <f t="shared" si="8"/>
        <v>-65.999999999999545</v>
      </c>
      <c r="AF22" s="331">
        <f t="shared" si="9"/>
        <v>0.95600000000000029</v>
      </c>
      <c r="AG22" s="615">
        <f>AF30</f>
        <v>0.9588482761106929</v>
      </c>
    </row>
    <row r="23" spans="1:33" ht="15.75" customHeight="1">
      <c r="A23" s="643" t="s">
        <v>1471</v>
      </c>
      <c r="B23" s="29" t="s">
        <v>15</v>
      </c>
      <c r="C23" s="640" t="s">
        <v>28</v>
      </c>
      <c r="D23" s="640"/>
      <c r="E23" s="29">
        <v>50.67</v>
      </c>
      <c r="F23" s="335">
        <v>2560</v>
      </c>
      <c r="G23" s="330">
        <f t="shared" si="19"/>
        <v>129715.20000000001</v>
      </c>
      <c r="H23" s="33" t="s">
        <v>57</v>
      </c>
      <c r="I23" s="333">
        <v>17</v>
      </c>
      <c r="J23" s="31">
        <v>2000</v>
      </c>
      <c r="K23" s="12">
        <f t="shared" si="1"/>
        <v>117.64705882352941</v>
      </c>
      <c r="L23" s="333">
        <v>17</v>
      </c>
      <c r="M23" s="13">
        <f t="shared" si="20"/>
        <v>1919.9999999999993</v>
      </c>
      <c r="N23" s="12">
        <f t="shared" si="3"/>
        <v>112.94117647058819</v>
      </c>
      <c r="O23" s="14">
        <f t="shared" si="4"/>
        <v>0</v>
      </c>
      <c r="P23" s="15">
        <f t="shared" si="5"/>
        <v>-4.7058823529412166</v>
      </c>
      <c r="Q23" s="331">
        <f t="shared" si="6"/>
        <v>0.95999999999999963</v>
      </c>
      <c r="R23" s="615"/>
      <c r="S23" s="34">
        <v>0.25347222222222221</v>
      </c>
      <c r="T23" s="34">
        <v>0.30902777777777779</v>
      </c>
      <c r="U23" s="330">
        <f t="shared" ref="U23:U29" si="22">IF(S23=TIME(17,0,0),"",(S23-T22)*24*60)</f>
        <v>4.9999999999999822</v>
      </c>
      <c r="V23" s="334">
        <f t="shared" si="21"/>
        <v>80.000000000000028</v>
      </c>
      <c r="W23" s="16"/>
      <c r="X23" s="330"/>
      <c r="Y23" s="330"/>
      <c r="Z23" s="330"/>
      <c r="AA23" s="617"/>
      <c r="AB23" s="617"/>
      <c r="AC23" s="35"/>
      <c r="AD23" s="18"/>
      <c r="AE23" s="14">
        <f t="shared" si="8"/>
        <v>-80.000000000000682</v>
      </c>
      <c r="AF23" s="331">
        <f t="shared" si="9"/>
        <v>0.95999999999999963</v>
      </c>
      <c r="AG23" s="615"/>
    </row>
    <row r="24" spans="1:33" ht="15.75" customHeight="1">
      <c r="A24" s="643" t="s">
        <v>1471</v>
      </c>
      <c r="B24" s="29" t="s">
        <v>15</v>
      </c>
      <c r="C24" s="640" t="s">
        <v>29</v>
      </c>
      <c r="D24" s="640"/>
      <c r="E24" s="29">
        <v>57.73</v>
      </c>
      <c r="F24" s="335">
        <v>2871</v>
      </c>
      <c r="G24" s="330">
        <f t="shared" si="19"/>
        <v>165742.82999999999</v>
      </c>
      <c r="H24" s="33" t="s">
        <v>57</v>
      </c>
      <c r="I24" s="333">
        <v>14</v>
      </c>
      <c r="J24" s="31">
        <v>2000</v>
      </c>
      <c r="K24" s="12">
        <f t="shared" si="1"/>
        <v>142.85714285714286</v>
      </c>
      <c r="L24" s="333">
        <v>14</v>
      </c>
      <c r="M24" s="13">
        <f t="shared" si="20"/>
        <v>1914</v>
      </c>
      <c r="N24" s="12">
        <f t="shared" si="3"/>
        <v>136.71428571428572</v>
      </c>
      <c r="O24" s="14">
        <f t="shared" si="4"/>
        <v>0</v>
      </c>
      <c r="P24" s="15">
        <f t="shared" si="5"/>
        <v>-6.1428571428571388</v>
      </c>
      <c r="Q24" s="331">
        <f t="shared" si="6"/>
        <v>0.95700000000000007</v>
      </c>
      <c r="R24" s="615"/>
      <c r="S24" s="34">
        <v>0.31458333333333333</v>
      </c>
      <c r="T24" s="34">
        <v>0.37708333333333333</v>
      </c>
      <c r="U24" s="330">
        <f t="shared" si="22"/>
        <v>7.9999999999999716</v>
      </c>
      <c r="V24" s="334">
        <f t="shared" si="21"/>
        <v>90</v>
      </c>
      <c r="W24" s="16"/>
      <c r="X24" s="330"/>
      <c r="Y24" s="330"/>
      <c r="Z24" s="330"/>
      <c r="AA24" s="617"/>
      <c r="AB24" s="617"/>
      <c r="AC24" s="35"/>
      <c r="AD24" s="18"/>
      <c r="AE24" s="14">
        <f t="shared" si="8"/>
        <v>-86</v>
      </c>
      <c r="AF24" s="331">
        <f t="shared" si="9"/>
        <v>0.95699999999999996</v>
      </c>
      <c r="AG24" s="615"/>
    </row>
    <row r="25" spans="1:33" ht="15.75" customHeight="1">
      <c r="A25" s="643" t="s">
        <v>9</v>
      </c>
      <c r="B25" s="29" t="s">
        <v>15</v>
      </c>
      <c r="C25" s="640" t="s">
        <v>80</v>
      </c>
      <c r="D25" s="640"/>
      <c r="E25" s="29">
        <v>53.27</v>
      </c>
      <c r="F25" s="335">
        <v>1793</v>
      </c>
      <c r="G25" s="330">
        <f t="shared" si="19"/>
        <v>95513.11</v>
      </c>
      <c r="H25" s="33" t="s">
        <v>57</v>
      </c>
      <c r="I25" s="333">
        <v>16</v>
      </c>
      <c r="J25" s="31">
        <v>2000</v>
      </c>
      <c r="K25" s="12">
        <f t="shared" si="1"/>
        <v>125</v>
      </c>
      <c r="L25" s="333">
        <v>16</v>
      </c>
      <c r="M25" s="13">
        <f t="shared" si="20"/>
        <v>1921.07142857143</v>
      </c>
      <c r="N25" s="12">
        <f t="shared" si="3"/>
        <v>120.06696428571438</v>
      </c>
      <c r="O25" s="14">
        <f t="shared" si="4"/>
        <v>0</v>
      </c>
      <c r="P25" s="15">
        <f t="shared" si="5"/>
        <v>-4.9330357142856229</v>
      </c>
      <c r="Q25" s="331">
        <f t="shared" si="6"/>
        <v>0.96053571428571505</v>
      </c>
      <c r="R25" s="615"/>
      <c r="S25" s="34">
        <v>0.38124999999999998</v>
      </c>
      <c r="T25" s="34">
        <v>0.42013888888888884</v>
      </c>
      <c r="U25" s="330">
        <f t="shared" si="22"/>
        <v>5.9999999999999787</v>
      </c>
      <c r="V25" s="334">
        <f t="shared" si="21"/>
        <v>55.999999999999957</v>
      </c>
      <c r="W25" s="16"/>
      <c r="X25" s="330"/>
      <c r="Y25" s="330"/>
      <c r="Z25" s="330"/>
      <c r="AA25" s="617"/>
      <c r="AB25" s="617"/>
      <c r="AC25" s="35"/>
      <c r="AD25" s="18"/>
      <c r="AE25" s="14">
        <f t="shared" si="8"/>
        <v>-78.928571428569967</v>
      </c>
      <c r="AF25" s="331">
        <f t="shared" si="9"/>
        <v>0.96053571428571505</v>
      </c>
      <c r="AG25" s="615"/>
    </row>
    <row r="26" spans="1:33" ht="15.75" customHeight="1">
      <c r="A26" s="643" t="s">
        <v>9</v>
      </c>
      <c r="B26" s="29" t="s">
        <v>15</v>
      </c>
      <c r="C26" s="640" t="s">
        <v>1472</v>
      </c>
      <c r="D26" s="640"/>
      <c r="E26" s="29">
        <v>51.44</v>
      </c>
      <c r="F26" s="335">
        <v>2500</v>
      </c>
      <c r="G26" s="330">
        <f t="shared" si="19"/>
        <v>128600</v>
      </c>
      <c r="H26" s="33">
        <v>2</v>
      </c>
      <c r="I26" s="333">
        <v>25</v>
      </c>
      <c r="J26" s="31">
        <v>2000</v>
      </c>
      <c r="K26" s="12">
        <f t="shared" si="1"/>
        <v>80</v>
      </c>
      <c r="L26" s="333">
        <v>25</v>
      </c>
      <c r="M26" s="13">
        <f t="shared" si="20"/>
        <v>1923.0769230769222</v>
      </c>
      <c r="N26" s="12">
        <f t="shared" si="3"/>
        <v>76.923076923076891</v>
      </c>
      <c r="O26" s="14">
        <f t="shared" si="4"/>
        <v>0</v>
      </c>
      <c r="P26" s="15">
        <f t="shared" si="5"/>
        <v>-3.0769230769231086</v>
      </c>
      <c r="Q26" s="331">
        <f t="shared" si="6"/>
        <v>0.96153846153846112</v>
      </c>
      <c r="R26" s="615"/>
      <c r="S26" s="34">
        <v>0.42361111111111105</v>
      </c>
      <c r="T26" s="34">
        <v>0.47777777777777775</v>
      </c>
      <c r="U26" s="330">
        <f t="shared" si="22"/>
        <v>4.9999999999999822</v>
      </c>
      <c r="V26" s="334">
        <f t="shared" si="21"/>
        <v>78.000000000000043</v>
      </c>
      <c r="W26" s="16">
        <f>T26</f>
        <v>0.47777777777777775</v>
      </c>
      <c r="X26" s="16">
        <f>S27</f>
        <v>0.51597222222222217</v>
      </c>
      <c r="Y26" s="330"/>
      <c r="Z26" s="330"/>
      <c r="AA26" s="617"/>
      <c r="AB26" s="617"/>
      <c r="AC26" s="35"/>
      <c r="AD26" s="18"/>
      <c r="AE26" s="14">
        <f t="shared" si="8"/>
        <v>-76.923076923077815</v>
      </c>
      <c r="AF26" s="331">
        <f t="shared" si="9"/>
        <v>0.96153846153846112</v>
      </c>
      <c r="AG26" s="615"/>
    </row>
    <row r="27" spans="1:33" ht="15.75" customHeight="1">
      <c r="A27" s="643" t="s">
        <v>9</v>
      </c>
      <c r="B27" s="29" t="s">
        <v>15</v>
      </c>
      <c r="C27" s="640" t="s">
        <v>1472</v>
      </c>
      <c r="D27" s="640"/>
      <c r="E27" s="29">
        <v>51.44</v>
      </c>
      <c r="F27" s="335">
        <v>2743</v>
      </c>
      <c r="G27" s="330">
        <f t="shared" si="19"/>
        <v>141099.91999999998</v>
      </c>
      <c r="H27" s="33" t="s">
        <v>57</v>
      </c>
      <c r="I27" s="333">
        <v>25</v>
      </c>
      <c r="J27" s="31">
        <v>2000</v>
      </c>
      <c r="K27" s="12">
        <f t="shared" si="1"/>
        <v>80</v>
      </c>
      <c r="L27" s="333">
        <v>25</v>
      </c>
      <c r="M27" s="13">
        <f t="shared" si="20"/>
        <v>1913.7209302325577</v>
      </c>
      <c r="N27" s="12">
        <f t="shared" si="3"/>
        <v>76.548837209302306</v>
      </c>
      <c r="O27" s="14">
        <f t="shared" si="4"/>
        <v>0</v>
      </c>
      <c r="P27" s="15">
        <f t="shared" si="5"/>
        <v>-3.451162790697694</v>
      </c>
      <c r="Q27" s="331">
        <f t="shared" si="6"/>
        <v>0.95686046511627887</v>
      </c>
      <c r="R27" s="615"/>
      <c r="S27" s="34">
        <v>0.51597222222222217</v>
      </c>
      <c r="T27" s="34">
        <v>0.5756944444444444</v>
      </c>
      <c r="U27" s="330">
        <f t="shared" si="22"/>
        <v>54.999999999999964</v>
      </c>
      <c r="V27" s="334">
        <f t="shared" si="21"/>
        <v>86.000000000000014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-86.279069767442252</v>
      </c>
      <c r="AF27" s="331">
        <f t="shared" si="9"/>
        <v>0.95686046511627887</v>
      </c>
      <c r="AG27" s="615"/>
    </row>
    <row r="28" spans="1:33" ht="15.75" customHeight="1">
      <c r="A28" s="643" t="s">
        <v>9</v>
      </c>
      <c r="B28" s="29" t="s">
        <v>15</v>
      </c>
      <c r="C28" s="666" t="s">
        <v>30</v>
      </c>
      <c r="D28" s="667"/>
      <c r="E28" s="29">
        <v>50.49</v>
      </c>
      <c r="F28" s="335">
        <v>1958</v>
      </c>
      <c r="G28" s="330">
        <f t="shared" si="19"/>
        <v>98859.42</v>
      </c>
      <c r="H28" s="33" t="s">
        <v>57</v>
      </c>
      <c r="I28" s="333">
        <v>15</v>
      </c>
      <c r="J28" s="31">
        <v>2000</v>
      </c>
      <c r="K28" s="12">
        <f t="shared" si="1"/>
        <v>133.33333333333334</v>
      </c>
      <c r="L28" s="333">
        <v>15</v>
      </c>
      <c r="M28" s="13">
        <f t="shared" si="20"/>
        <v>1925.9016393442641</v>
      </c>
      <c r="N28" s="12">
        <f t="shared" si="3"/>
        <v>128.39344262295094</v>
      </c>
      <c r="O28" s="14">
        <f t="shared" si="4"/>
        <v>0</v>
      </c>
      <c r="P28" s="15">
        <f t="shared" si="5"/>
        <v>-4.9398907103824001</v>
      </c>
      <c r="Q28" s="331">
        <f t="shared" si="6"/>
        <v>0.96295081967213203</v>
      </c>
      <c r="R28" s="615"/>
      <c r="S28" s="34">
        <v>0.70833333333333337</v>
      </c>
      <c r="T28" s="34">
        <v>0.75069444444444444</v>
      </c>
      <c r="U28" s="330" t="str">
        <f t="shared" si="22"/>
        <v/>
      </c>
      <c r="V28" s="334">
        <f t="shared" si="21"/>
        <v>60.999999999999943</v>
      </c>
      <c r="W28" s="16"/>
      <c r="X28" s="21"/>
      <c r="Y28" s="22"/>
      <c r="Z28" s="22"/>
      <c r="AA28" s="624"/>
      <c r="AB28" s="625"/>
      <c r="AC28" s="35"/>
      <c r="AD28" s="18"/>
      <c r="AE28" s="14">
        <f t="shared" si="8"/>
        <v>-74.09836065573586</v>
      </c>
      <c r="AF28" s="331">
        <f t="shared" si="9"/>
        <v>0.96295081967213203</v>
      </c>
      <c r="AG28" s="615"/>
    </row>
    <row r="29" spans="1:33" ht="15.75" customHeight="1">
      <c r="A29" s="643" t="s">
        <v>9</v>
      </c>
      <c r="B29" s="29" t="s">
        <v>15</v>
      </c>
      <c r="C29" s="337" t="s">
        <v>82</v>
      </c>
      <c r="D29" s="338"/>
      <c r="E29" s="29">
        <v>51.06</v>
      </c>
      <c r="F29" s="335">
        <v>3375</v>
      </c>
      <c r="G29" s="330">
        <f t="shared" si="19"/>
        <v>172327.5</v>
      </c>
      <c r="H29" s="33" t="s">
        <v>57</v>
      </c>
      <c r="I29" s="333">
        <v>13</v>
      </c>
      <c r="J29" s="31">
        <v>2000</v>
      </c>
      <c r="K29" s="12">
        <f t="shared" si="1"/>
        <v>153.84615384615384</v>
      </c>
      <c r="L29" s="333">
        <v>13</v>
      </c>
      <c r="M29" s="13">
        <f t="shared" si="20"/>
        <v>1910.3773584905671</v>
      </c>
      <c r="N29" s="12">
        <f t="shared" si="3"/>
        <v>146.95210449927438</v>
      </c>
      <c r="O29" s="14">
        <f t="shared" si="4"/>
        <v>0</v>
      </c>
      <c r="P29" s="15">
        <f t="shared" si="5"/>
        <v>-6.8940493468794557</v>
      </c>
      <c r="Q29" s="331">
        <f t="shared" si="6"/>
        <v>0.9551886792452835</v>
      </c>
      <c r="R29" s="615"/>
      <c r="S29" s="34">
        <v>0.75555555555555554</v>
      </c>
      <c r="T29" s="34">
        <v>0.82916666666666661</v>
      </c>
      <c r="U29" s="330">
        <f t="shared" si="22"/>
        <v>6.9999999999999751</v>
      </c>
      <c r="V29" s="334">
        <f t="shared" si="21"/>
        <v>105.99999999999994</v>
      </c>
      <c r="W29" s="16"/>
      <c r="X29" s="16"/>
      <c r="Y29" s="19"/>
      <c r="Z29" s="19"/>
      <c r="AA29" s="326"/>
      <c r="AB29" s="327"/>
      <c r="AC29" s="35"/>
      <c r="AD29" s="18"/>
      <c r="AE29" s="14">
        <f t="shared" si="8"/>
        <v>-89.622641509432924</v>
      </c>
      <c r="AF29" s="331">
        <f t="shared" si="9"/>
        <v>0.9551886792452835</v>
      </c>
      <c r="AG29" s="615"/>
    </row>
    <row r="30" spans="1:33" ht="15.75" customHeight="1">
      <c r="A30" s="643" t="s">
        <v>9</v>
      </c>
      <c r="B30" s="29" t="s">
        <v>6</v>
      </c>
      <c r="C30" s="618"/>
      <c r="D30" s="618"/>
      <c r="E30" s="332"/>
      <c r="F30" s="335"/>
      <c r="G30" s="330"/>
      <c r="H30" s="335"/>
      <c r="I30" s="23">
        <v>17.75</v>
      </c>
      <c r="J30" s="31">
        <v>1937.5</v>
      </c>
      <c r="K30" s="12">
        <f t="shared" si="1"/>
        <v>109.15492957746478</v>
      </c>
      <c r="L30" s="23">
        <v>17.75</v>
      </c>
      <c r="M30" s="13">
        <f>AVERAGE(M22:M29)</f>
        <v>1857.7685349644676</v>
      </c>
      <c r="N30" s="12">
        <f t="shared" si="3"/>
        <v>104.6630160543362</v>
      </c>
      <c r="O30" s="14">
        <f t="shared" si="4"/>
        <v>0</v>
      </c>
      <c r="P30" s="15">
        <f t="shared" si="5"/>
        <v>-4.4919135231285878</v>
      </c>
      <c r="Q30" s="331">
        <f t="shared" si="6"/>
        <v>0.9588482761106929</v>
      </c>
      <c r="R30" s="615"/>
      <c r="S30" s="34"/>
      <c r="T30" s="34"/>
      <c r="U30" s="12"/>
      <c r="V30" s="334"/>
      <c r="W30" s="12"/>
      <c r="X30" s="12"/>
      <c r="Y30" s="24">
        <f>SUM(Y22:Y29)</f>
        <v>0</v>
      </c>
      <c r="Z30" s="24">
        <f>SUM(Z22:Z29)</f>
        <v>0</v>
      </c>
      <c r="AA30" s="614"/>
      <c r="AB30" s="614"/>
      <c r="AC30" s="24">
        <v>8</v>
      </c>
      <c r="AD30" s="24">
        <f>SUM(AD22:AD29)</f>
        <v>0</v>
      </c>
      <c r="AE30" s="14">
        <f t="shared" si="8"/>
        <v>-79.731465035532437</v>
      </c>
      <c r="AF30" s="331">
        <f t="shared" si="9"/>
        <v>0.9588482761106929</v>
      </c>
      <c r="AG30" s="615"/>
    </row>
    <row r="31" spans="1:33" ht="15.75" customHeight="1">
      <c r="A31" s="641" t="s">
        <v>1473</v>
      </c>
      <c r="B31" s="29" t="s">
        <v>32</v>
      </c>
      <c r="C31" s="640" t="s">
        <v>33</v>
      </c>
      <c r="D31" s="640"/>
      <c r="E31" s="29">
        <v>31.29</v>
      </c>
      <c r="F31" s="335">
        <v>4100</v>
      </c>
      <c r="G31" s="330">
        <f t="shared" ref="G31:G37" si="23">E31*F31</f>
        <v>128289</v>
      </c>
      <c r="H31" s="33">
        <v>2</v>
      </c>
      <c r="I31" s="333">
        <v>18</v>
      </c>
      <c r="J31" s="31">
        <v>2400</v>
      </c>
      <c r="K31" s="12">
        <f t="shared" si="1"/>
        <v>133.33333333333334</v>
      </c>
      <c r="L31" s="333">
        <v>18</v>
      </c>
      <c r="M31" s="13">
        <f t="shared" ref="M31:M37" si="24">F31/V31*60</f>
        <v>2299.065420560748</v>
      </c>
      <c r="N31" s="12">
        <f t="shared" si="3"/>
        <v>127.72585669781932</v>
      </c>
      <c r="O31" s="14">
        <f t="shared" si="4"/>
        <v>0</v>
      </c>
      <c r="P31" s="15">
        <f t="shared" si="5"/>
        <v>-5.6074766355140184</v>
      </c>
      <c r="Q31" s="331">
        <f t="shared" si="6"/>
        <v>0.95794392523364491</v>
      </c>
      <c r="R31" s="615">
        <f>Q38</f>
        <v>0.9556165553947441</v>
      </c>
      <c r="S31" s="34">
        <v>8.3333333333333329E-2</v>
      </c>
      <c r="T31" s="34">
        <v>0.15763888888888888</v>
      </c>
      <c r="U31" s="330"/>
      <c r="V31" s="334">
        <f t="shared" ref="V31:V37" si="25">(T31-S31)*24*60</f>
        <v>107</v>
      </c>
      <c r="W31" s="16">
        <f>T31</f>
        <v>0.15763888888888888</v>
      </c>
      <c r="X31" s="16">
        <f>S32</f>
        <v>0.17499999999999996</v>
      </c>
      <c r="Y31" s="16"/>
      <c r="Z31" s="16"/>
      <c r="AA31" s="617"/>
      <c r="AB31" s="617"/>
      <c r="AC31" s="35">
        <v>7</v>
      </c>
      <c r="AD31" s="18"/>
      <c r="AE31" s="14">
        <f t="shared" si="8"/>
        <v>-100.93457943925205</v>
      </c>
      <c r="AF31" s="331">
        <f t="shared" si="9"/>
        <v>0.95794392523364502</v>
      </c>
      <c r="AG31" s="615">
        <f>AF38</f>
        <v>0.95561655539474433</v>
      </c>
    </row>
    <row r="32" spans="1:33" ht="15.75" customHeight="1">
      <c r="A32" s="641" t="s">
        <v>10</v>
      </c>
      <c r="B32" s="29" t="s">
        <v>32</v>
      </c>
      <c r="C32" s="640" t="s">
        <v>34</v>
      </c>
      <c r="D32" s="640"/>
      <c r="E32" s="29">
        <v>26.37</v>
      </c>
      <c r="F32" s="335">
        <v>6395</v>
      </c>
      <c r="G32" s="330">
        <f t="shared" si="23"/>
        <v>168636.15</v>
      </c>
      <c r="H32" s="33" t="s">
        <v>57</v>
      </c>
      <c r="I32" s="333">
        <v>18</v>
      </c>
      <c r="J32" s="31">
        <v>2400</v>
      </c>
      <c r="K32" s="12">
        <f t="shared" si="1"/>
        <v>133.33333333333334</v>
      </c>
      <c r="L32" s="333">
        <v>18</v>
      </c>
      <c r="M32" s="13">
        <f t="shared" si="24"/>
        <v>2283.9285714285716</v>
      </c>
      <c r="N32" s="12">
        <f t="shared" si="3"/>
        <v>126.88492063492065</v>
      </c>
      <c r="O32" s="14">
        <f t="shared" si="4"/>
        <v>0</v>
      </c>
      <c r="P32" s="15">
        <f t="shared" si="5"/>
        <v>-6.4484126984126959</v>
      </c>
      <c r="Q32" s="331">
        <f t="shared" si="6"/>
        <v>0.95163690476190477</v>
      </c>
      <c r="R32" s="615"/>
      <c r="S32" s="34">
        <v>0.17499999999999996</v>
      </c>
      <c r="T32" s="34">
        <v>0.29166666666666663</v>
      </c>
      <c r="U32" s="330">
        <f t="shared" ref="U32:U37" si="26">(S32-T31)*24*60</f>
        <v>24.99999999999995</v>
      </c>
      <c r="V32" s="334">
        <f t="shared" si="25"/>
        <v>168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-116.07142857142844</v>
      </c>
      <c r="AF32" s="331">
        <f t="shared" si="9"/>
        <v>0.95163690476190477</v>
      </c>
      <c r="AG32" s="615"/>
    </row>
    <row r="33" spans="1:33" ht="15.75" customHeight="1">
      <c r="A33" s="641" t="s">
        <v>10</v>
      </c>
      <c r="B33" s="29" t="s">
        <v>32</v>
      </c>
      <c r="C33" s="640" t="s">
        <v>76</v>
      </c>
      <c r="D33" s="640"/>
      <c r="E33" s="29">
        <v>26.18</v>
      </c>
      <c r="F33" s="335">
        <v>4500</v>
      </c>
      <c r="G33" s="330">
        <f t="shared" si="23"/>
        <v>117810</v>
      </c>
      <c r="H33" s="33">
        <v>2</v>
      </c>
      <c r="I33" s="333">
        <v>18</v>
      </c>
      <c r="J33" s="31">
        <v>2400</v>
      </c>
      <c r="K33" s="12">
        <f t="shared" si="1"/>
        <v>133.33333333333334</v>
      </c>
      <c r="L33" s="333">
        <v>18</v>
      </c>
      <c r="M33" s="13">
        <f t="shared" si="24"/>
        <v>2288.1355932203396</v>
      </c>
      <c r="N33" s="12">
        <f t="shared" si="3"/>
        <v>127.11864406779665</v>
      </c>
      <c r="O33" s="14">
        <f t="shared" si="4"/>
        <v>0</v>
      </c>
      <c r="P33" s="15">
        <f t="shared" si="5"/>
        <v>-6.2146892655366912</v>
      </c>
      <c r="Q33" s="331">
        <f t="shared" si="6"/>
        <v>0.95338983050847481</v>
      </c>
      <c r="R33" s="615"/>
      <c r="S33" s="34">
        <v>0.29583333333333328</v>
      </c>
      <c r="T33" s="34">
        <v>0.37777777777777771</v>
      </c>
      <c r="U33" s="330">
        <f t="shared" si="26"/>
        <v>5.9999999999999787</v>
      </c>
      <c r="V33" s="334">
        <f t="shared" si="25"/>
        <v>117.99999999999999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-111.86440677966038</v>
      </c>
      <c r="AF33" s="331">
        <f t="shared" si="9"/>
        <v>0.95338983050847481</v>
      </c>
      <c r="AG33" s="615"/>
    </row>
    <row r="34" spans="1:33" ht="15.75" customHeight="1">
      <c r="A34" s="641" t="s">
        <v>10</v>
      </c>
      <c r="B34" s="29" t="s">
        <v>32</v>
      </c>
      <c r="C34" s="640" t="s">
        <v>79</v>
      </c>
      <c r="D34" s="640"/>
      <c r="E34" s="29">
        <v>25.99</v>
      </c>
      <c r="F34" s="335">
        <v>2262</v>
      </c>
      <c r="G34" s="330">
        <f t="shared" si="23"/>
        <v>58789.38</v>
      </c>
      <c r="H34" s="33" t="s">
        <v>57</v>
      </c>
      <c r="I34" s="333">
        <v>18</v>
      </c>
      <c r="J34" s="31">
        <v>2400</v>
      </c>
      <c r="K34" s="12">
        <f t="shared" si="1"/>
        <v>133.33333333333334</v>
      </c>
      <c r="L34" s="333">
        <v>18</v>
      </c>
      <c r="M34" s="13">
        <f t="shared" si="24"/>
        <v>2300.3389830508463</v>
      </c>
      <c r="N34" s="12">
        <f t="shared" si="3"/>
        <v>127.79661016949146</v>
      </c>
      <c r="O34" s="14">
        <f t="shared" si="4"/>
        <v>0</v>
      </c>
      <c r="P34" s="15">
        <f t="shared" si="5"/>
        <v>-5.5367231638418843</v>
      </c>
      <c r="Q34" s="331">
        <f t="shared" si="6"/>
        <v>0.95847457627118582</v>
      </c>
      <c r="R34" s="615"/>
      <c r="S34" s="34">
        <v>0.38333333333333325</v>
      </c>
      <c r="T34" s="34">
        <v>0.42430555555555549</v>
      </c>
      <c r="U34" s="330">
        <f t="shared" si="26"/>
        <v>7.9999999999999716</v>
      </c>
      <c r="V34" s="334">
        <f t="shared" si="25"/>
        <v>59.000000000000028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-99.661016949153691</v>
      </c>
      <c r="AF34" s="331">
        <f t="shared" si="9"/>
        <v>0.95847457627118593</v>
      </c>
      <c r="AG34" s="615"/>
    </row>
    <row r="35" spans="1:33" ht="15.75" customHeight="1">
      <c r="A35" s="641" t="s">
        <v>10</v>
      </c>
      <c r="B35" s="29" t="s">
        <v>32</v>
      </c>
      <c r="C35" s="640" t="s">
        <v>35</v>
      </c>
      <c r="D35" s="640"/>
      <c r="E35" s="29">
        <v>25.99</v>
      </c>
      <c r="F35" s="335">
        <v>4311</v>
      </c>
      <c r="G35" s="330">
        <f t="shared" si="23"/>
        <v>112042.89</v>
      </c>
      <c r="H35" s="33" t="s">
        <v>57</v>
      </c>
      <c r="I35" s="333">
        <v>14</v>
      </c>
      <c r="J35" s="31">
        <v>2400</v>
      </c>
      <c r="K35" s="12">
        <f t="shared" si="1"/>
        <v>171.42857142857142</v>
      </c>
      <c r="L35" s="333">
        <v>14</v>
      </c>
      <c r="M35" s="13">
        <f t="shared" si="24"/>
        <v>2289.026548672568</v>
      </c>
      <c r="N35" s="12">
        <f t="shared" si="3"/>
        <v>163.50189633375484</v>
      </c>
      <c r="O35" s="14">
        <f t="shared" si="4"/>
        <v>0</v>
      </c>
      <c r="P35" s="15">
        <f t="shared" si="5"/>
        <v>-7.9266750948165736</v>
      </c>
      <c r="Q35" s="331">
        <f t="shared" si="6"/>
        <v>0.95376106194690335</v>
      </c>
      <c r="R35" s="615"/>
      <c r="S35" s="34">
        <v>0.4277777777777777</v>
      </c>
      <c r="T35" s="34">
        <v>0.50624999999999987</v>
      </c>
      <c r="U35" s="330">
        <f t="shared" si="26"/>
        <v>4.9999999999999822</v>
      </c>
      <c r="V35" s="334">
        <f t="shared" si="25"/>
        <v>112.99999999999991</v>
      </c>
      <c r="W35" s="16">
        <f>T35</f>
        <v>0.50624999999999987</v>
      </c>
      <c r="X35" s="16">
        <f>S36</f>
        <v>0.54652777777777761</v>
      </c>
      <c r="Y35" s="16"/>
      <c r="Z35" s="16"/>
      <c r="AA35" s="617"/>
      <c r="AB35" s="617"/>
      <c r="AC35" s="35"/>
      <c r="AD35" s="18"/>
      <c r="AE35" s="14">
        <f t="shared" si="8"/>
        <v>-110.97345132743203</v>
      </c>
      <c r="AF35" s="331">
        <f t="shared" si="9"/>
        <v>0.95376106194690335</v>
      </c>
      <c r="AG35" s="615"/>
    </row>
    <row r="36" spans="1:33" ht="15.75" customHeight="1">
      <c r="A36" s="641" t="s">
        <v>1474</v>
      </c>
      <c r="B36" s="29" t="s">
        <v>32</v>
      </c>
      <c r="C36" s="640" t="s">
        <v>33</v>
      </c>
      <c r="D36" s="640"/>
      <c r="E36" s="29">
        <v>31.29</v>
      </c>
      <c r="F36" s="335">
        <v>5572</v>
      </c>
      <c r="G36" s="330">
        <f t="shared" si="23"/>
        <v>174347.88</v>
      </c>
      <c r="H36" s="33" t="s">
        <v>57</v>
      </c>
      <c r="I36" s="333">
        <v>18</v>
      </c>
      <c r="J36" s="31">
        <v>2400</v>
      </c>
      <c r="K36" s="12">
        <f t="shared" si="1"/>
        <v>133.33333333333334</v>
      </c>
      <c r="L36" s="333">
        <v>18</v>
      </c>
      <c r="M36" s="13">
        <f t="shared" si="24"/>
        <v>2289.8630136986308</v>
      </c>
      <c r="N36" s="12">
        <f t="shared" si="3"/>
        <v>127.21461187214615</v>
      </c>
      <c r="O36" s="14">
        <f t="shared" si="4"/>
        <v>0</v>
      </c>
      <c r="P36" s="15">
        <f t="shared" si="5"/>
        <v>-6.1187214611871923</v>
      </c>
      <c r="Q36" s="331">
        <f t="shared" si="6"/>
        <v>0.95410958904109611</v>
      </c>
      <c r="R36" s="615"/>
      <c r="S36" s="34">
        <v>0.54652777777777761</v>
      </c>
      <c r="T36" s="34">
        <v>0.64791666666666647</v>
      </c>
      <c r="U36" s="330">
        <f t="shared" si="26"/>
        <v>57.999999999999957</v>
      </c>
      <c r="V36" s="334">
        <f t="shared" si="25"/>
        <v>145.99999999999997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-110.13698630136923</v>
      </c>
      <c r="AF36" s="331">
        <f t="shared" si="9"/>
        <v>0.95410958904109611</v>
      </c>
      <c r="AG36" s="615"/>
    </row>
    <row r="37" spans="1:33" ht="15.75" customHeight="1">
      <c r="A37" s="641" t="s">
        <v>1474</v>
      </c>
      <c r="B37" s="29" t="s">
        <v>32</v>
      </c>
      <c r="C37" s="640" t="s">
        <v>76</v>
      </c>
      <c r="D37" s="640"/>
      <c r="E37" s="29">
        <v>26.18</v>
      </c>
      <c r="F37" s="335">
        <v>3456</v>
      </c>
      <c r="G37" s="330">
        <f t="shared" si="23"/>
        <v>90478.080000000002</v>
      </c>
      <c r="H37" s="33" t="s">
        <v>57</v>
      </c>
      <c r="I37" s="333">
        <v>18</v>
      </c>
      <c r="J37" s="31">
        <v>2400</v>
      </c>
      <c r="K37" s="12">
        <f t="shared" si="1"/>
        <v>133.33333333333334</v>
      </c>
      <c r="L37" s="333">
        <v>18</v>
      </c>
      <c r="M37" s="13">
        <f t="shared" si="24"/>
        <v>2304</v>
      </c>
      <c r="N37" s="12">
        <f t="shared" si="3"/>
        <v>128</v>
      </c>
      <c r="O37" s="14">
        <f t="shared" si="4"/>
        <v>0</v>
      </c>
      <c r="P37" s="15">
        <f t="shared" si="5"/>
        <v>-5.3333333333333428</v>
      </c>
      <c r="Q37" s="331">
        <f t="shared" si="6"/>
        <v>0.96</v>
      </c>
      <c r="R37" s="615"/>
      <c r="S37" s="34">
        <v>0.65277777777777757</v>
      </c>
      <c r="T37" s="34">
        <v>0.71527777777777757</v>
      </c>
      <c r="U37" s="330">
        <f t="shared" si="26"/>
        <v>6.9999999999999751</v>
      </c>
      <c r="V37" s="334">
        <f t="shared" si="25"/>
        <v>90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-96</v>
      </c>
      <c r="AF37" s="331">
        <f t="shared" si="9"/>
        <v>0.96</v>
      </c>
      <c r="AG37" s="615"/>
    </row>
    <row r="38" spans="1:33" ht="15.75" customHeight="1">
      <c r="A38" s="641" t="s">
        <v>1474</v>
      </c>
      <c r="B38" s="29" t="s">
        <v>1475</v>
      </c>
      <c r="C38" s="618"/>
      <c r="D38" s="618"/>
      <c r="E38" s="332"/>
      <c r="F38" s="335"/>
      <c r="G38" s="330"/>
      <c r="H38" s="335"/>
      <c r="I38" s="23">
        <v>17.428571428571427</v>
      </c>
      <c r="J38" s="31">
        <v>2400</v>
      </c>
      <c r="K38" s="12">
        <f t="shared" si="1"/>
        <v>137.70491803278691</v>
      </c>
      <c r="L38" s="23">
        <v>17.428571428571427</v>
      </c>
      <c r="M38" s="13">
        <f>AVERAGE(M31:M37)</f>
        <v>2293.4797329473863</v>
      </c>
      <c r="N38" s="12">
        <f t="shared" si="3"/>
        <v>131.59309943140741</v>
      </c>
      <c r="O38" s="14">
        <f t="shared" si="4"/>
        <v>0</v>
      </c>
      <c r="P38" s="15">
        <f t="shared" si="5"/>
        <v>-6.1118186013794968</v>
      </c>
      <c r="Q38" s="331">
        <f t="shared" si="6"/>
        <v>0.9556165553947441</v>
      </c>
      <c r="R38" s="615"/>
      <c r="S38" s="34"/>
      <c r="T38" s="34"/>
      <c r="U38" s="330"/>
      <c r="V38" s="334"/>
      <c r="W38" s="330"/>
      <c r="X38" s="330"/>
      <c r="Y38" s="24">
        <f>SUM(Y31:Y37)</f>
        <v>0</v>
      </c>
      <c r="Z38" s="24">
        <f>SUM(Z31:Z37)</f>
        <v>0</v>
      </c>
      <c r="AA38" s="614"/>
      <c r="AB38" s="614"/>
      <c r="AC38" s="24">
        <v>7</v>
      </c>
      <c r="AD38" s="24">
        <f>SUM(AD31:AD37)</f>
        <v>0</v>
      </c>
      <c r="AE38" s="14">
        <f t="shared" si="8"/>
        <v>-106.52026705261369</v>
      </c>
      <c r="AF38" s="331">
        <f t="shared" si="9"/>
        <v>0.95561655539474433</v>
      </c>
      <c r="AG38" s="615"/>
    </row>
    <row r="39" spans="1:33" ht="15.75" customHeight="1">
      <c r="A39" s="638" t="s">
        <v>1476</v>
      </c>
      <c r="B39" s="29" t="s">
        <v>32</v>
      </c>
      <c r="C39" s="616" t="s">
        <v>77</v>
      </c>
      <c r="D39" s="616"/>
      <c r="E39" s="29">
        <v>26.18</v>
      </c>
      <c r="F39" s="335">
        <v>6200</v>
      </c>
      <c r="G39" s="330">
        <f t="shared" ref="G39:G45" si="27">E39*F39</f>
        <v>162316</v>
      </c>
      <c r="H39" s="33" t="s">
        <v>57</v>
      </c>
      <c r="I39" s="333">
        <v>20</v>
      </c>
      <c r="J39" s="31">
        <v>2400</v>
      </c>
      <c r="K39" s="12">
        <f t="shared" si="1"/>
        <v>120</v>
      </c>
      <c r="L39" s="333">
        <v>20</v>
      </c>
      <c r="M39" s="13">
        <f t="shared" ref="M39:M45" si="28">F39/V39*60</f>
        <v>2296.2962962962965</v>
      </c>
      <c r="N39" s="12">
        <f t="shared" si="3"/>
        <v>114.81481481481482</v>
      </c>
      <c r="O39" s="14">
        <f t="shared" si="4"/>
        <v>0</v>
      </c>
      <c r="P39" s="15">
        <f t="shared" si="5"/>
        <v>-5.1851851851851762</v>
      </c>
      <c r="Q39" s="331">
        <f t="shared" si="6"/>
        <v>0.95679012345679015</v>
      </c>
      <c r="R39" s="615">
        <f>Q46</f>
        <v>0.95613208706991482</v>
      </c>
      <c r="S39" s="34">
        <v>8.3333333333333329E-2</v>
      </c>
      <c r="T39" s="34">
        <v>0.19583333333333333</v>
      </c>
      <c r="U39" s="330"/>
      <c r="V39" s="334">
        <f t="shared" ref="V39:V45" si="29">(T39-S39)*24*60</f>
        <v>162</v>
      </c>
      <c r="W39" s="21">
        <f>T39</f>
        <v>0.19583333333333333</v>
      </c>
      <c r="X39" s="21">
        <f>S40</f>
        <v>0.21458333333333335</v>
      </c>
      <c r="Y39" s="21"/>
      <c r="Z39" s="21"/>
      <c r="AA39" s="617"/>
      <c r="AB39" s="617"/>
      <c r="AC39" s="35">
        <v>7</v>
      </c>
      <c r="AD39" s="18"/>
      <c r="AE39" s="14">
        <f t="shared" si="8"/>
        <v>-103.70370370370347</v>
      </c>
      <c r="AF39" s="331">
        <f t="shared" si="9"/>
        <v>0.95679012345679026</v>
      </c>
      <c r="AG39" s="615">
        <f>AF46</f>
        <v>0.95613208706991482</v>
      </c>
    </row>
    <row r="40" spans="1:33" ht="15.75" customHeight="1">
      <c r="A40" s="638" t="s">
        <v>1477</v>
      </c>
      <c r="B40" s="29" t="s">
        <v>32</v>
      </c>
      <c r="C40" s="616" t="s">
        <v>37</v>
      </c>
      <c r="D40" s="616"/>
      <c r="E40" s="29">
        <v>24.43</v>
      </c>
      <c r="F40" s="335">
        <v>3900</v>
      </c>
      <c r="G40" s="330">
        <f t="shared" si="27"/>
        <v>95277</v>
      </c>
      <c r="H40" s="33">
        <v>2</v>
      </c>
      <c r="I40" s="333">
        <v>14</v>
      </c>
      <c r="J40" s="31">
        <v>2400</v>
      </c>
      <c r="K40" s="12">
        <f t="shared" si="1"/>
        <v>171.42857142857142</v>
      </c>
      <c r="L40" s="333">
        <v>14</v>
      </c>
      <c r="M40" s="13">
        <f t="shared" si="28"/>
        <v>2294.1176470588243</v>
      </c>
      <c r="N40" s="12">
        <f t="shared" si="3"/>
        <v>163.86554621848745</v>
      </c>
      <c r="O40" s="14">
        <f t="shared" si="4"/>
        <v>0</v>
      </c>
      <c r="P40" s="15">
        <f t="shared" si="5"/>
        <v>-7.5630252100839641</v>
      </c>
      <c r="Q40" s="331">
        <f t="shared" si="6"/>
        <v>0.95588235294117685</v>
      </c>
      <c r="R40" s="615"/>
      <c r="S40" s="34">
        <v>0.21458333333333335</v>
      </c>
      <c r="T40" s="34">
        <v>0.28541666666666665</v>
      </c>
      <c r="U40" s="330">
        <f t="shared" ref="U40:U45" si="30">(S40-T39)*24*60</f>
        <v>27.000000000000025</v>
      </c>
      <c r="V40" s="334">
        <f t="shared" si="29"/>
        <v>101.99999999999996</v>
      </c>
      <c r="W40" s="330"/>
      <c r="X40" s="330"/>
      <c r="Y40" s="330"/>
      <c r="Z40" s="330"/>
      <c r="AA40" s="617"/>
      <c r="AB40" s="617"/>
      <c r="AC40" s="35"/>
      <c r="AD40" s="18"/>
      <c r="AE40" s="14">
        <f t="shared" si="8"/>
        <v>-105.88235294117567</v>
      </c>
      <c r="AF40" s="331">
        <f t="shared" si="9"/>
        <v>0.95588235294117685</v>
      </c>
      <c r="AG40" s="615"/>
    </row>
    <row r="41" spans="1:33">
      <c r="A41" s="639" t="s">
        <v>11</v>
      </c>
      <c r="B41" s="29" t="s">
        <v>32</v>
      </c>
      <c r="C41" s="616" t="s">
        <v>38</v>
      </c>
      <c r="D41" s="616"/>
      <c r="E41" s="29">
        <v>25.98</v>
      </c>
      <c r="F41" s="335">
        <v>3266</v>
      </c>
      <c r="G41" s="330">
        <f t="shared" si="27"/>
        <v>84850.680000000008</v>
      </c>
      <c r="H41" s="33" t="s">
        <v>57</v>
      </c>
      <c r="I41" s="333">
        <v>21</v>
      </c>
      <c r="J41" s="31">
        <v>2400</v>
      </c>
      <c r="K41" s="12">
        <f t="shared" si="1"/>
        <v>114.28571428571429</v>
      </c>
      <c r="L41" s="333">
        <v>21</v>
      </c>
      <c r="M41" s="13">
        <f t="shared" si="28"/>
        <v>2305.411764705882</v>
      </c>
      <c r="N41" s="12">
        <f t="shared" si="3"/>
        <v>109.781512605042</v>
      </c>
      <c r="O41" s="14">
        <f t="shared" si="4"/>
        <v>0</v>
      </c>
      <c r="P41" s="15">
        <f t="shared" si="5"/>
        <v>-4.5042016806722955</v>
      </c>
      <c r="Q41" s="331">
        <f t="shared" si="6"/>
        <v>0.96058823529411741</v>
      </c>
      <c r="R41" s="615"/>
      <c r="S41" s="34">
        <v>0.29097222222222219</v>
      </c>
      <c r="T41" s="34">
        <v>0.35</v>
      </c>
      <c r="U41" s="330">
        <f t="shared" si="30"/>
        <v>7.9999999999999716</v>
      </c>
      <c r="V41" s="334">
        <f t="shared" si="29"/>
        <v>85.000000000000014</v>
      </c>
      <c r="W41" s="330"/>
      <c r="X41" s="330"/>
      <c r="Y41" s="330"/>
      <c r="Z41" s="330"/>
      <c r="AA41" s="617"/>
      <c r="AB41" s="617"/>
      <c r="AC41" s="35"/>
      <c r="AD41" s="18"/>
      <c r="AE41" s="14">
        <f t="shared" si="8"/>
        <v>-94.588235294118022</v>
      </c>
      <c r="AF41" s="331">
        <f t="shared" si="9"/>
        <v>0.96058823529411752</v>
      </c>
      <c r="AG41" s="615"/>
    </row>
    <row r="42" spans="1:33">
      <c r="A42" s="639" t="s">
        <v>11</v>
      </c>
      <c r="B42" s="29" t="s">
        <v>32</v>
      </c>
      <c r="C42" s="616" t="s">
        <v>39</v>
      </c>
      <c r="D42" s="616"/>
      <c r="E42" s="29">
        <v>34.1</v>
      </c>
      <c r="F42" s="335">
        <v>2700</v>
      </c>
      <c r="G42" s="330">
        <f t="shared" si="27"/>
        <v>92070</v>
      </c>
      <c r="H42" s="33">
        <v>2</v>
      </c>
      <c r="I42" s="333">
        <v>17</v>
      </c>
      <c r="J42" s="31">
        <v>1600</v>
      </c>
      <c r="K42" s="12">
        <f t="shared" si="1"/>
        <v>94.117647058823536</v>
      </c>
      <c r="L42" s="333">
        <v>17</v>
      </c>
      <c r="M42" s="13">
        <f t="shared" si="28"/>
        <v>1528.3018867924525</v>
      </c>
      <c r="N42" s="12">
        <f t="shared" si="3"/>
        <v>89.900110987791322</v>
      </c>
      <c r="O42" s="14">
        <f t="shared" si="4"/>
        <v>0</v>
      </c>
      <c r="P42" s="15">
        <f t="shared" si="5"/>
        <v>-4.2175360710322138</v>
      </c>
      <c r="Q42" s="331">
        <f t="shared" si="6"/>
        <v>0.95518867924528272</v>
      </c>
      <c r="R42" s="615"/>
      <c r="S42" s="34">
        <v>0.35347222222222219</v>
      </c>
      <c r="T42" s="34">
        <v>0.42708333333333331</v>
      </c>
      <c r="U42" s="330">
        <f t="shared" si="30"/>
        <v>4.9999999999999822</v>
      </c>
      <c r="V42" s="334">
        <f t="shared" si="29"/>
        <v>106.00000000000003</v>
      </c>
      <c r="W42" s="16"/>
      <c r="X42" s="16"/>
      <c r="Y42" s="16"/>
      <c r="Z42" s="16"/>
      <c r="AA42" s="617"/>
      <c r="AB42" s="617"/>
      <c r="AC42" s="35"/>
      <c r="AD42" s="18"/>
      <c r="AE42" s="14">
        <f t="shared" si="8"/>
        <v>-71.698113207547522</v>
      </c>
      <c r="AF42" s="331">
        <f t="shared" si="9"/>
        <v>0.95518867924528283</v>
      </c>
      <c r="AG42" s="615"/>
    </row>
    <row r="43" spans="1:33">
      <c r="A43" s="639" t="s">
        <v>11</v>
      </c>
      <c r="B43" s="29" t="s">
        <v>32</v>
      </c>
      <c r="C43" s="616" t="s">
        <v>84</v>
      </c>
      <c r="D43" s="616"/>
      <c r="E43" s="29">
        <v>20.21</v>
      </c>
      <c r="F43" s="335">
        <v>3930</v>
      </c>
      <c r="G43" s="330">
        <f t="shared" si="27"/>
        <v>79425.3</v>
      </c>
      <c r="H43" s="33" t="s">
        <v>57</v>
      </c>
      <c r="I43" s="333">
        <v>18</v>
      </c>
      <c r="J43" s="31">
        <v>2400</v>
      </c>
      <c r="K43" s="12">
        <f t="shared" si="1"/>
        <v>133.33333333333334</v>
      </c>
      <c r="L43" s="333">
        <v>18</v>
      </c>
      <c r="M43" s="13">
        <f t="shared" si="28"/>
        <v>2289.3203883495144</v>
      </c>
      <c r="N43" s="12">
        <f t="shared" si="3"/>
        <v>127.18446601941747</v>
      </c>
      <c r="O43" s="14">
        <f t="shared" si="4"/>
        <v>0</v>
      </c>
      <c r="P43" s="15">
        <f t="shared" si="5"/>
        <v>-6.148867313915872</v>
      </c>
      <c r="Q43" s="331">
        <f t="shared" si="6"/>
        <v>0.95388349514563098</v>
      </c>
      <c r="R43" s="615"/>
      <c r="S43" s="34">
        <v>0.43263888888888885</v>
      </c>
      <c r="T43" s="34">
        <v>0.50416666666666665</v>
      </c>
      <c r="U43" s="330">
        <f t="shared" si="30"/>
        <v>7.9999999999999716</v>
      </c>
      <c r="V43" s="334">
        <f t="shared" si="29"/>
        <v>103.00000000000003</v>
      </c>
      <c r="W43" s="16">
        <f>T43</f>
        <v>0.50416666666666665</v>
      </c>
      <c r="X43" s="16">
        <f>S44</f>
        <v>0.54583333333333328</v>
      </c>
      <c r="Y43" s="16"/>
      <c r="Z43" s="16"/>
      <c r="AA43" s="617"/>
      <c r="AB43" s="617"/>
      <c r="AC43" s="35"/>
      <c r="AD43" s="18"/>
      <c r="AE43" s="14">
        <f t="shared" si="8"/>
        <v>-110.67961165048564</v>
      </c>
      <c r="AF43" s="331">
        <f t="shared" si="9"/>
        <v>0.95388349514563098</v>
      </c>
      <c r="AG43" s="615"/>
    </row>
    <row r="44" spans="1:33">
      <c r="A44" s="639" t="s">
        <v>11</v>
      </c>
      <c r="B44" s="29" t="s">
        <v>32</v>
      </c>
      <c r="C44" s="616" t="s">
        <v>39</v>
      </c>
      <c r="D44" s="616"/>
      <c r="E44" s="29">
        <v>34.1</v>
      </c>
      <c r="F44" s="335">
        <v>3902</v>
      </c>
      <c r="G44" s="330">
        <f t="shared" si="27"/>
        <v>133058.20000000001</v>
      </c>
      <c r="H44" s="33" t="s">
        <v>57</v>
      </c>
      <c r="I44" s="333">
        <v>17</v>
      </c>
      <c r="J44" s="31">
        <v>1600</v>
      </c>
      <c r="K44" s="12">
        <f t="shared" si="1"/>
        <v>94.117647058823536</v>
      </c>
      <c r="L44" s="333">
        <v>17</v>
      </c>
      <c r="M44" s="13">
        <f t="shared" si="28"/>
        <v>1520.259740259741</v>
      </c>
      <c r="N44" s="12">
        <f t="shared" si="3"/>
        <v>89.427043544690648</v>
      </c>
      <c r="O44" s="14">
        <f t="shared" si="4"/>
        <v>0</v>
      </c>
      <c r="P44" s="15">
        <f t="shared" si="5"/>
        <v>-4.6906035141328886</v>
      </c>
      <c r="Q44" s="331">
        <f t="shared" si="6"/>
        <v>0.95016233766233804</v>
      </c>
      <c r="R44" s="615"/>
      <c r="S44" s="34">
        <v>0.54583333333333328</v>
      </c>
      <c r="T44" s="34">
        <v>0.65277777777777768</v>
      </c>
      <c r="U44" s="330">
        <f t="shared" si="30"/>
        <v>59.999999999999943</v>
      </c>
      <c r="V44" s="334">
        <f t="shared" si="29"/>
        <v>153.99999999999994</v>
      </c>
      <c r="W44" s="16"/>
      <c r="X44" s="16"/>
      <c r="Y44" s="16"/>
      <c r="Z44" s="16"/>
      <c r="AA44" s="617"/>
      <c r="AB44" s="617"/>
      <c r="AC44" s="35"/>
      <c r="AD44" s="18"/>
      <c r="AE44" s="14">
        <f t="shared" si="8"/>
        <v>-79.740259740259035</v>
      </c>
      <c r="AF44" s="331">
        <f t="shared" si="9"/>
        <v>0.95016233766233815</v>
      </c>
      <c r="AG44" s="615"/>
    </row>
    <row r="45" spans="1:33">
      <c r="A45" s="639" t="s">
        <v>1477</v>
      </c>
      <c r="B45" s="29" t="s">
        <v>32</v>
      </c>
      <c r="C45" s="616" t="s">
        <v>37</v>
      </c>
      <c r="D45" s="616"/>
      <c r="E45" s="29">
        <v>24.43</v>
      </c>
      <c r="F45" s="335">
        <v>3066</v>
      </c>
      <c r="G45" s="330">
        <f t="shared" si="27"/>
        <v>74902.38</v>
      </c>
      <c r="H45" s="33" t="s">
        <v>57</v>
      </c>
      <c r="I45" s="333">
        <v>14</v>
      </c>
      <c r="J45" s="31">
        <v>2400</v>
      </c>
      <c r="K45" s="12">
        <f t="shared" si="1"/>
        <v>171.42857142857142</v>
      </c>
      <c r="L45" s="333">
        <v>14</v>
      </c>
      <c r="M45" s="13">
        <f t="shared" si="28"/>
        <v>2299.4999999999991</v>
      </c>
      <c r="N45" s="12">
        <f t="shared" si="3"/>
        <v>164.24999999999994</v>
      </c>
      <c r="O45" s="14">
        <f t="shared" si="4"/>
        <v>0</v>
      </c>
      <c r="P45" s="15">
        <f t="shared" si="5"/>
        <v>-7.1785714285714732</v>
      </c>
      <c r="Q45" s="331">
        <f t="shared" si="6"/>
        <v>0.95812499999999978</v>
      </c>
      <c r="R45" s="615"/>
      <c r="S45" s="34">
        <v>0.65763888888888877</v>
      </c>
      <c r="T45" s="34">
        <v>0.71319444444444435</v>
      </c>
      <c r="U45" s="330">
        <f t="shared" si="30"/>
        <v>6.9999999999999751</v>
      </c>
      <c r="V45" s="334">
        <f t="shared" si="29"/>
        <v>80.000000000000028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-100.50000000000091</v>
      </c>
      <c r="AF45" s="331">
        <f t="shared" si="9"/>
        <v>0.95812499999999967</v>
      </c>
      <c r="AG45" s="615"/>
    </row>
    <row r="46" spans="1:33">
      <c r="A46" s="639" t="s">
        <v>1477</v>
      </c>
      <c r="B46" s="30" t="s">
        <v>1478</v>
      </c>
      <c r="C46" s="618"/>
      <c r="D46" s="618"/>
      <c r="E46" s="332"/>
      <c r="F46" s="30"/>
      <c r="G46" s="12"/>
      <c r="H46" s="335"/>
      <c r="I46" s="23">
        <v>17.285714285714285</v>
      </c>
      <c r="J46" s="31">
        <v>2171.4285714285716</v>
      </c>
      <c r="K46" s="12">
        <f t="shared" si="1"/>
        <v>125.61983471074382</v>
      </c>
      <c r="L46" s="23">
        <v>17.285714285714285</v>
      </c>
      <c r="M46" s="13">
        <f>AVERAGE(M39:M45)</f>
        <v>2076.1725319232437</v>
      </c>
      <c r="N46" s="12">
        <f t="shared" si="3"/>
        <v>120.10915473936122</v>
      </c>
      <c r="O46" s="14">
        <f t="shared" si="4"/>
        <v>0</v>
      </c>
      <c r="P46" s="15">
        <f t="shared" si="5"/>
        <v>-5.5106799713826007</v>
      </c>
      <c r="Q46" s="331">
        <f t="shared" si="6"/>
        <v>0.95613208706991482</v>
      </c>
      <c r="R46" s="615"/>
      <c r="S46" s="34"/>
      <c r="T46" s="34"/>
      <c r="U46" s="12"/>
      <c r="V46" s="334"/>
      <c r="W46" s="12"/>
      <c r="X46" s="12"/>
      <c r="Y46" s="24">
        <f>SUM(Y39:Y45)</f>
        <v>0</v>
      </c>
      <c r="Z46" s="24">
        <f>SUM(Z39:Z45)</f>
        <v>0</v>
      </c>
      <c r="AA46" s="614"/>
      <c r="AB46" s="614"/>
      <c r="AC46" s="24">
        <v>7</v>
      </c>
      <c r="AD46" s="24">
        <f>SUM(AD39:AD45)</f>
        <v>0</v>
      </c>
      <c r="AE46" s="14">
        <f t="shared" si="8"/>
        <v>-95.256039505327863</v>
      </c>
      <c r="AF46" s="331">
        <f t="shared" si="9"/>
        <v>0.95613208706991482</v>
      </c>
      <c r="AG46" s="615"/>
    </row>
    <row r="47" spans="1:33" ht="15.75" customHeight="1">
      <c r="A47" s="632" t="s">
        <v>1479</v>
      </c>
      <c r="B47" s="29" t="s">
        <v>40</v>
      </c>
      <c r="C47" s="622" t="s">
        <v>41</v>
      </c>
      <c r="D47" s="623"/>
      <c r="E47" s="29">
        <v>37.880000000000003</v>
      </c>
      <c r="F47" s="335">
        <v>746</v>
      </c>
      <c r="G47" s="330">
        <f t="shared" ref="G47:G50" si="31">E47*F47</f>
        <v>28258.480000000003</v>
      </c>
      <c r="H47" s="33" t="s">
        <v>57</v>
      </c>
      <c r="I47" s="333">
        <v>13</v>
      </c>
      <c r="J47" s="31">
        <v>2000</v>
      </c>
      <c r="K47" s="12">
        <f t="shared" si="1"/>
        <v>153.84615384615384</v>
      </c>
      <c r="L47" s="333">
        <v>13</v>
      </c>
      <c r="M47" s="13">
        <f t="shared" ref="M47:M50" si="32">F47/V47*60</f>
        <v>1946.086956521739</v>
      </c>
      <c r="N47" s="13">
        <f t="shared" si="3"/>
        <v>149.69899665551839</v>
      </c>
      <c r="O47" s="14">
        <f t="shared" si="4"/>
        <v>0</v>
      </c>
      <c r="P47" s="15">
        <f t="shared" si="5"/>
        <v>-4.1471571906354541</v>
      </c>
      <c r="Q47" s="331">
        <f t="shared" si="6"/>
        <v>0.97304347826086957</v>
      </c>
      <c r="R47" s="635">
        <f>Q51</f>
        <v>0.95703016245091965</v>
      </c>
      <c r="S47" s="34">
        <v>8.3333333333333329E-2</v>
      </c>
      <c r="T47" s="34">
        <v>9.930555555555555E-2</v>
      </c>
      <c r="U47" s="21"/>
      <c r="V47" s="334">
        <f t="shared" ref="V47:V50" si="33">(T47-S47)*24*60</f>
        <v>23</v>
      </c>
      <c r="W47" s="16">
        <f>T47</f>
        <v>9.930555555555555E-2</v>
      </c>
      <c r="X47" s="16">
        <f>S48</f>
        <v>0.11805555555555555</v>
      </c>
      <c r="Y47" s="19"/>
      <c r="Z47" s="19"/>
      <c r="AA47" s="624"/>
      <c r="AB47" s="625"/>
      <c r="AC47" s="35">
        <v>4</v>
      </c>
      <c r="AD47" s="18"/>
      <c r="AE47" s="14">
        <f t="shared" si="8"/>
        <v>-53.913043478260988</v>
      </c>
      <c r="AF47" s="331">
        <f t="shared" si="9"/>
        <v>0.97304347826086945</v>
      </c>
      <c r="AG47" s="635">
        <f>AF51</f>
        <v>0.95703016245091976</v>
      </c>
    </row>
    <row r="48" spans="1:33" ht="15.75" customHeight="1">
      <c r="A48" s="633" t="s">
        <v>1480</v>
      </c>
      <c r="B48" s="29" t="s">
        <v>40</v>
      </c>
      <c r="C48" s="622" t="s">
        <v>42</v>
      </c>
      <c r="D48" s="623"/>
      <c r="E48" s="29">
        <v>35.119999999999997</v>
      </c>
      <c r="F48" s="335">
        <v>5909</v>
      </c>
      <c r="G48" s="330">
        <f t="shared" si="31"/>
        <v>207524.08</v>
      </c>
      <c r="H48" s="33" t="s">
        <v>57</v>
      </c>
      <c r="I48" s="333">
        <v>10</v>
      </c>
      <c r="J48" s="31">
        <v>3000</v>
      </c>
      <c r="K48" s="12">
        <f t="shared" si="1"/>
        <v>300</v>
      </c>
      <c r="L48" s="333">
        <v>10</v>
      </c>
      <c r="M48" s="13">
        <f t="shared" si="32"/>
        <v>2859.1935483870971</v>
      </c>
      <c r="N48" s="13">
        <f t="shared" si="3"/>
        <v>285.91935483870969</v>
      </c>
      <c r="O48" s="14">
        <f t="shared" si="4"/>
        <v>0</v>
      </c>
      <c r="P48" s="15">
        <f t="shared" si="5"/>
        <v>-14.080645161290306</v>
      </c>
      <c r="Q48" s="331">
        <f t="shared" si="6"/>
        <v>0.95306451612903231</v>
      </c>
      <c r="R48" s="636"/>
      <c r="S48" s="34">
        <v>0.11805555555555555</v>
      </c>
      <c r="T48" s="34">
        <v>0.20416666666666666</v>
      </c>
      <c r="U48" s="330">
        <f t="shared" ref="U48:U50" si="34">(S48-T47)*24*60</f>
        <v>27.000000000000004</v>
      </c>
      <c r="V48" s="334">
        <f t="shared" si="33"/>
        <v>123.99999999999999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-140.80645161290295</v>
      </c>
      <c r="AF48" s="331">
        <f t="shared" si="9"/>
        <v>0.95306451612903231</v>
      </c>
      <c r="AG48" s="636"/>
    </row>
    <row r="49" spans="1:33" ht="15.75" customHeight="1">
      <c r="A49" s="633" t="s">
        <v>1481</v>
      </c>
      <c r="B49" s="29" t="s">
        <v>40</v>
      </c>
      <c r="C49" s="622" t="s">
        <v>43</v>
      </c>
      <c r="D49" s="623"/>
      <c r="E49" s="29">
        <v>21.13</v>
      </c>
      <c r="F49" s="335">
        <v>5581</v>
      </c>
      <c r="G49" s="330">
        <f t="shared" si="31"/>
        <v>117926.53</v>
      </c>
      <c r="H49" s="33" t="s">
        <v>57</v>
      </c>
      <c r="I49" s="333">
        <v>10</v>
      </c>
      <c r="J49" s="31">
        <v>3000</v>
      </c>
      <c r="K49" s="12">
        <f t="shared" si="1"/>
        <v>300</v>
      </c>
      <c r="L49" s="333">
        <v>10</v>
      </c>
      <c r="M49" s="13">
        <f t="shared" si="32"/>
        <v>2862.0512820512822</v>
      </c>
      <c r="N49" s="13">
        <f t="shared" si="3"/>
        <v>286.20512820512823</v>
      </c>
      <c r="O49" s="14">
        <f t="shared" si="4"/>
        <v>0</v>
      </c>
      <c r="P49" s="15">
        <f t="shared" si="5"/>
        <v>-13.794871794871767</v>
      </c>
      <c r="Q49" s="331">
        <f t="shared" si="6"/>
        <v>0.95401709401709411</v>
      </c>
      <c r="R49" s="636"/>
      <c r="S49" s="34">
        <v>0.20763888888888887</v>
      </c>
      <c r="T49" s="34">
        <v>0.28888888888888886</v>
      </c>
      <c r="U49" s="330">
        <f t="shared" si="34"/>
        <v>4.9999999999999822</v>
      </c>
      <c r="V49" s="334">
        <f t="shared" si="33"/>
        <v>116.99999999999999</v>
      </c>
      <c r="W49" s="16"/>
      <c r="X49" s="16"/>
      <c r="Y49" s="19"/>
      <c r="Z49" s="19"/>
      <c r="AA49" s="624"/>
      <c r="AB49" s="625"/>
      <c r="AC49" s="35"/>
      <c r="AD49" s="18"/>
      <c r="AE49" s="14">
        <f t="shared" si="8"/>
        <v>-137.94871794871779</v>
      </c>
      <c r="AF49" s="331">
        <f t="shared" si="9"/>
        <v>0.95401709401709411</v>
      </c>
      <c r="AG49" s="636"/>
    </row>
    <row r="50" spans="1:33" ht="15.75" customHeight="1">
      <c r="A50" s="633" t="s">
        <v>1482</v>
      </c>
      <c r="B50" s="29" t="s">
        <v>40</v>
      </c>
      <c r="C50" s="622" t="s">
        <v>44</v>
      </c>
      <c r="D50" s="623"/>
      <c r="E50" s="29">
        <v>27.17</v>
      </c>
      <c r="F50" s="335">
        <v>7150</v>
      </c>
      <c r="G50" s="330">
        <f t="shared" si="31"/>
        <v>194265.5</v>
      </c>
      <c r="H50" s="33" t="s">
        <v>57</v>
      </c>
      <c r="I50" s="333">
        <v>10</v>
      </c>
      <c r="J50" s="31">
        <v>3000</v>
      </c>
      <c r="K50" s="12">
        <f t="shared" si="1"/>
        <v>300</v>
      </c>
      <c r="L50" s="333">
        <v>10</v>
      </c>
      <c r="M50" s="13">
        <f t="shared" si="32"/>
        <v>2859.9999999999995</v>
      </c>
      <c r="N50" s="13">
        <f t="shared" si="3"/>
        <v>285.99999999999994</v>
      </c>
      <c r="O50" s="14">
        <f t="shared" si="4"/>
        <v>0</v>
      </c>
      <c r="P50" s="15">
        <f t="shared" si="5"/>
        <v>-14.000000000000057</v>
      </c>
      <c r="Q50" s="331">
        <f t="shared" si="6"/>
        <v>0.95333333333333314</v>
      </c>
      <c r="R50" s="636"/>
      <c r="S50" s="34">
        <v>0.29374999999999996</v>
      </c>
      <c r="T50" s="34">
        <v>0.39791666666666664</v>
      </c>
      <c r="U50" s="330">
        <f t="shared" si="34"/>
        <v>6.9999999999999751</v>
      </c>
      <c r="V50" s="334">
        <f t="shared" si="33"/>
        <v>150.00000000000003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-140.00000000000045</v>
      </c>
      <c r="AF50" s="331">
        <f t="shared" si="9"/>
        <v>0.95333333333333314</v>
      </c>
      <c r="AG50" s="636"/>
    </row>
    <row r="51" spans="1:33" ht="15.75" customHeight="1">
      <c r="A51" s="634" t="s">
        <v>1482</v>
      </c>
      <c r="B51" s="29" t="s">
        <v>1469</v>
      </c>
      <c r="C51" s="612"/>
      <c r="D51" s="613"/>
      <c r="E51" s="328"/>
      <c r="F51" s="335"/>
      <c r="G51" s="330"/>
      <c r="H51" s="335"/>
      <c r="I51" s="23">
        <v>10.75</v>
      </c>
      <c r="J51" s="31">
        <v>2750</v>
      </c>
      <c r="K51" s="12">
        <f t="shared" si="1"/>
        <v>255.81395348837211</v>
      </c>
      <c r="L51" s="23">
        <v>10.75</v>
      </c>
      <c r="M51" s="13">
        <f>AVERAGE(M47:M50)</f>
        <v>2631.8329467400295</v>
      </c>
      <c r="N51" s="12">
        <f t="shared" si="3"/>
        <v>244.82166946418877</v>
      </c>
      <c r="O51" s="14">
        <f t="shared" si="4"/>
        <v>0</v>
      </c>
      <c r="P51" s="15">
        <f t="shared" si="5"/>
        <v>-10.992284024183334</v>
      </c>
      <c r="Q51" s="331">
        <f t="shared" si="6"/>
        <v>0.95703016245091965</v>
      </c>
      <c r="R51" s="637"/>
      <c r="S51" s="34"/>
      <c r="T51" s="34"/>
      <c r="U51" s="330"/>
      <c r="V51" s="334"/>
      <c r="W51" s="16"/>
      <c r="X51" s="16"/>
      <c r="Y51" s="24">
        <f>SUM(Y47:Y50)</f>
        <v>0</v>
      </c>
      <c r="Z51" s="24">
        <f>SUM(Z47:Z50)</f>
        <v>0</v>
      </c>
      <c r="AA51" s="628"/>
      <c r="AB51" s="629"/>
      <c r="AC51" s="24">
        <v>4</v>
      </c>
      <c r="AD51" s="24">
        <f>SUM(AD47:AD50)</f>
        <v>0</v>
      </c>
      <c r="AE51" s="14">
        <f t="shared" si="8"/>
        <v>-118.16705325997054</v>
      </c>
      <c r="AF51" s="331">
        <f t="shared" si="9"/>
        <v>0.95703016245091976</v>
      </c>
      <c r="AG51" s="637"/>
    </row>
    <row r="52" spans="1:33" ht="15.75" customHeight="1">
      <c r="A52" s="630" t="s">
        <v>1483</v>
      </c>
      <c r="B52" s="29" t="s">
        <v>15</v>
      </c>
      <c r="C52" s="616" t="s">
        <v>46</v>
      </c>
      <c r="D52" s="616"/>
      <c r="E52" s="29">
        <v>56.43</v>
      </c>
      <c r="F52" s="32">
        <v>1521</v>
      </c>
      <c r="G52" s="330">
        <f t="shared" ref="G52:G58" si="35">E52*F52</f>
        <v>85830.03</v>
      </c>
      <c r="H52" s="33" t="s">
        <v>57</v>
      </c>
      <c r="I52" s="333">
        <v>22</v>
      </c>
      <c r="J52" s="31">
        <v>2000</v>
      </c>
      <c r="K52" s="12">
        <f t="shared" si="1"/>
        <v>90.909090909090907</v>
      </c>
      <c r="L52" s="333">
        <v>22</v>
      </c>
      <c r="M52" s="13">
        <f t="shared" ref="M52" si="36">F52/V52*60</f>
        <v>1901.2500000000007</v>
      </c>
      <c r="N52" s="13">
        <f t="shared" si="3"/>
        <v>86.420454545454575</v>
      </c>
      <c r="O52" s="14">
        <f t="shared" si="4"/>
        <v>0</v>
      </c>
      <c r="P52" s="15">
        <f t="shared" si="5"/>
        <v>-4.4886363636363313</v>
      </c>
      <c r="Q52" s="331">
        <f t="shared" si="6"/>
        <v>0.95062500000000039</v>
      </c>
      <c r="R52" s="615">
        <f>Q59</f>
        <v>0.95579521138333734</v>
      </c>
      <c r="S52" s="34">
        <v>0.16666666666666666</v>
      </c>
      <c r="T52" s="34">
        <v>0.19999999999999998</v>
      </c>
      <c r="U52" s="21"/>
      <c r="V52" s="334">
        <f t="shared" ref="V52:V58" si="37">(T52-S52)*24*60</f>
        <v>47.999999999999986</v>
      </c>
      <c r="W52" s="16">
        <f>T52</f>
        <v>0.19999999999999998</v>
      </c>
      <c r="X52" s="16">
        <f>S53</f>
        <v>0.22013888888888888</v>
      </c>
      <c r="Y52" s="21"/>
      <c r="Z52" s="21"/>
      <c r="AA52" s="617"/>
      <c r="AB52" s="617"/>
      <c r="AC52" s="35">
        <v>7</v>
      </c>
      <c r="AD52" s="18"/>
      <c r="AE52" s="14">
        <f t="shared" si="8"/>
        <v>-98.749999999999318</v>
      </c>
      <c r="AF52" s="331">
        <f t="shared" si="9"/>
        <v>0.95062500000000039</v>
      </c>
      <c r="AG52" s="615">
        <f>AF59</f>
        <v>0.95579521138333734</v>
      </c>
    </row>
    <row r="53" spans="1:33" ht="15.75" customHeight="1">
      <c r="A53" s="630" t="s">
        <v>1484</v>
      </c>
      <c r="B53" s="29" t="s">
        <v>19</v>
      </c>
      <c r="C53" s="616" t="s">
        <v>81</v>
      </c>
      <c r="D53" s="616"/>
      <c r="E53" s="29">
        <v>46</v>
      </c>
      <c r="F53" s="32">
        <v>3103</v>
      </c>
      <c r="G53" s="330">
        <f t="shared" si="35"/>
        <v>142738</v>
      </c>
      <c r="H53" s="33" t="s">
        <v>57</v>
      </c>
      <c r="I53" s="333">
        <v>16</v>
      </c>
      <c r="J53" s="31">
        <v>2000</v>
      </c>
      <c r="K53" s="12">
        <f t="shared" si="1"/>
        <v>125</v>
      </c>
      <c r="L53" s="333">
        <v>16</v>
      </c>
      <c r="M53" s="13">
        <f>F53/V53*60</f>
        <v>1919.3814432989698</v>
      </c>
      <c r="N53" s="13">
        <f t="shared" si="3"/>
        <v>119.96134020618561</v>
      </c>
      <c r="O53" s="14">
        <f t="shared" si="4"/>
        <v>0</v>
      </c>
      <c r="P53" s="15">
        <f t="shared" si="5"/>
        <v>-5.0386597938143893</v>
      </c>
      <c r="Q53" s="331">
        <f t="shared" si="6"/>
        <v>0.95969072164948488</v>
      </c>
      <c r="R53" s="615"/>
      <c r="S53" s="34">
        <v>0.22013888888888888</v>
      </c>
      <c r="T53" s="34">
        <v>0.28749999999999998</v>
      </c>
      <c r="U53" s="330">
        <f t="shared" ref="U53:U58" si="38">IF(S53=TIME(17,0,0),"",(S53-T52)*24*60)</f>
        <v>29.000000000000018</v>
      </c>
      <c r="V53" s="334">
        <f t="shared" si="37"/>
        <v>96.999999999999972</v>
      </c>
      <c r="W53" s="16"/>
      <c r="X53" s="16"/>
      <c r="Y53" s="16"/>
      <c r="Z53" s="16"/>
      <c r="AA53" s="617"/>
      <c r="AB53" s="617"/>
      <c r="AC53" s="35"/>
      <c r="AD53" s="18"/>
      <c r="AE53" s="14">
        <f t="shared" si="8"/>
        <v>-80.618556701030229</v>
      </c>
      <c r="AF53" s="331">
        <f t="shared" si="9"/>
        <v>0.95969072164948488</v>
      </c>
      <c r="AG53" s="615"/>
    </row>
    <row r="54" spans="1:33" ht="15.75" customHeight="1">
      <c r="A54" s="630" t="s">
        <v>1485</v>
      </c>
      <c r="B54" s="29" t="s">
        <v>19</v>
      </c>
      <c r="C54" s="622" t="s">
        <v>945</v>
      </c>
      <c r="D54" s="623"/>
      <c r="E54" s="29">
        <v>46</v>
      </c>
      <c r="F54" s="32">
        <v>3464</v>
      </c>
      <c r="G54" s="330">
        <f t="shared" si="35"/>
        <v>159344</v>
      </c>
      <c r="H54" s="33" t="s">
        <v>57</v>
      </c>
      <c r="I54" s="333">
        <v>17</v>
      </c>
      <c r="J54" s="31">
        <v>2000</v>
      </c>
      <c r="K54" s="12">
        <f t="shared" si="1"/>
        <v>117.64705882352941</v>
      </c>
      <c r="L54" s="333">
        <v>17</v>
      </c>
      <c r="M54" s="13">
        <f t="shared" ref="M54:M58" si="39">F54/V54*60</f>
        <v>1906.7889908256877</v>
      </c>
      <c r="N54" s="13">
        <f t="shared" si="3"/>
        <v>112.16405828386398</v>
      </c>
      <c r="O54" s="14">
        <f t="shared" si="4"/>
        <v>0</v>
      </c>
      <c r="P54" s="15">
        <f t="shared" si="5"/>
        <v>-5.4830005396654258</v>
      </c>
      <c r="Q54" s="331">
        <f t="shared" si="6"/>
        <v>0.95339449541284382</v>
      </c>
      <c r="R54" s="615"/>
      <c r="S54" s="34">
        <v>0.29166666666666663</v>
      </c>
      <c r="T54" s="34">
        <v>0.36736111111111108</v>
      </c>
      <c r="U54" s="330">
        <f t="shared" si="38"/>
        <v>5.9999999999999787</v>
      </c>
      <c r="V54" s="334">
        <f t="shared" si="37"/>
        <v>109.00000000000001</v>
      </c>
      <c r="W54" s="16"/>
      <c r="X54" s="16"/>
      <c r="Y54" s="19"/>
      <c r="Z54" s="19"/>
      <c r="AA54" s="617"/>
      <c r="AB54" s="617"/>
      <c r="AC54" s="35"/>
      <c r="AD54" s="18"/>
      <c r="AE54" s="14">
        <f t="shared" si="8"/>
        <v>-93.211009174312267</v>
      </c>
      <c r="AF54" s="331">
        <f t="shared" si="9"/>
        <v>0.95339449541284382</v>
      </c>
      <c r="AG54" s="615"/>
    </row>
    <row r="55" spans="1:33" ht="15.75" customHeight="1">
      <c r="A55" s="630" t="s">
        <v>1485</v>
      </c>
      <c r="B55" s="29" t="s">
        <v>15</v>
      </c>
      <c r="C55" s="324" t="s">
        <v>27</v>
      </c>
      <c r="D55" s="325"/>
      <c r="E55" s="29">
        <v>59.04</v>
      </c>
      <c r="F55" s="32">
        <v>2833</v>
      </c>
      <c r="G55" s="330">
        <f t="shared" si="35"/>
        <v>167260.32</v>
      </c>
      <c r="H55" s="33" t="s">
        <v>57</v>
      </c>
      <c r="I55" s="333">
        <v>19</v>
      </c>
      <c r="J55" s="31">
        <v>2000</v>
      </c>
      <c r="K55" s="12">
        <f t="shared" si="1"/>
        <v>105.26315789473684</v>
      </c>
      <c r="L55" s="333">
        <v>19</v>
      </c>
      <c r="M55" s="13">
        <f t="shared" si="39"/>
        <v>1909.8876404494381</v>
      </c>
      <c r="N55" s="13">
        <f t="shared" si="3"/>
        <v>100.52040212891779</v>
      </c>
      <c r="O55" s="14">
        <f t="shared" si="4"/>
        <v>0</v>
      </c>
      <c r="P55" s="15">
        <f t="shared" si="5"/>
        <v>-4.7427557658190409</v>
      </c>
      <c r="Q55" s="331">
        <f t="shared" si="6"/>
        <v>0.95494382022471913</v>
      </c>
      <c r="R55" s="615"/>
      <c r="S55" s="34">
        <v>0.37291666666666662</v>
      </c>
      <c r="T55" s="34">
        <v>0.43472222222222218</v>
      </c>
      <c r="U55" s="330">
        <f t="shared" si="38"/>
        <v>7.9999999999999716</v>
      </c>
      <c r="V55" s="334">
        <f t="shared" si="37"/>
        <v>89</v>
      </c>
      <c r="W55" s="16"/>
      <c r="X55" s="16"/>
      <c r="Y55" s="19"/>
      <c r="Z55" s="19"/>
      <c r="AA55" s="617"/>
      <c r="AB55" s="617"/>
      <c r="AC55" s="35"/>
      <c r="AD55" s="18"/>
      <c r="AE55" s="14">
        <f t="shared" si="8"/>
        <v>-90.112359550561905</v>
      </c>
      <c r="AF55" s="331">
        <f t="shared" si="9"/>
        <v>0.95494382022471902</v>
      </c>
      <c r="AG55" s="615"/>
    </row>
    <row r="56" spans="1:33" ht="15.75" customHeight="1">
      <c r="A56" s="630" t="s">
        <v>1485</v>
      </c>
      <c r="B56" s="29" t="s">
        <v>15</v>
      </c>
      <c r="C56" s="324" t="s">
        <v>48</v>
      </c>
      <c r="D56" s="325"/>
      <c r="E56" s="29">
        <v>55.56</v>
      </c>
      <c r="F56" s="32">
        <v>2336</v>
      </c>
      <c r="G56" s="330">
        <f t="shared" si="35"/>
        <v>129788.16</v>
      </c>
      <c r="H56" s="33" t="s">
        <v>57</v>
      </c>
      <c r="I56" s="333">
        <v>17</v>
      </c>
      <c r="J56" s="31">
        <v>2000</v>
      </c>
      <c r="K56" s="12">
        <f t="shared" si="1"/>
        <v>117.64705882352941</v>
      </c>
      <c r="L56" s="333">
        <v>17</v>
      </c>
      <c r="M56" s="13">
        <f t="shared" si="39"/>
        <v>1919.9999999999984</v>
      </c>
      <c r="N56" s="13">
        <f t="shared" si="3"/>
        <v>112.94117647058815</v>
      </c>
      <c r="O56" s="14">
        <f t="shared" si="4"/>
        <v>0</v>
      </c>
      <c r="P56" s="15">
        <f t="shared" si="5"/>
        <v>-4.7058823529412592</v>
      </c>
      <c r="Q56" s="331">
        <f t="shared" si="6"/>
        <v>0.9599999999999993</v>
      </c>
      <c r="R56" s="615"/>
      <c r="S56" s="34">
        <v>0.70833333333333337</v>
      </c>
      <c r="T56" s="34">
        <v>0.75902777777777786</v>
      </c>
      <c r="U56" s="330" t="str">
        <f t="shared" si="38"/>
        <v/>
      </c>
      <c r="V56" s="334">
        <f t="shared" si="37"/>
        <v>73.000000000000057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-80.000000000001592</v>
      </c>
      <c r="AF56" s="331">
        <f t="shared" si="9"/>
        <v>0.95999999999999919</v>
      </c>
      <c r="AG56" s="615"/>
    </row>
    <row r="57" spans="1:33" ht="15.75" customHeight="1">
      <c r="A57" s="630" t="s">
        <v>1485</v>
      </c>
      <c r="B57" s="29" t="s">
        <v>15</v>
      </c>
      <c r="C57" s="622" t="s">
        <v>841</v>
      </c>
      <c r="D57" s="623"/>
      <c r="E57" s="29">
        <v>54.09</v>
      </c>
      <c r="F57" s="32">
        <v>1985</v>
      </c>
      <c r="G57" s="330">
        <f t="shared" si="35"/>
        <v>107368.65000000001</v>
      </c>
      <c r="H57" s="33" t="s">
        <v>57</v>
      </c>
      <c r="I57" s="333">
        <v>13</v>
      </c>
      <c r="J57" s="31">
        <v>2000</v>
      </c>
      <c r="K57" s="12">
        <f t="shared" si="1"/>
        <v>153.84615384615384</v>
      </c>
      <c r="L57" s="333">
        <v>13</v>
      </c>
      <c r="M57" s="13">
        <f t="shared" si="39"/>
        <v>1920.9677419354855</v>
      </c>
      <c r="N57" s="13">
        <f t="shared" si="3"/>
        <v>147.76674937965274</v>
      </c>
      <c r="O57" s="14">
        <f t="shared" si="4"/>
        <v>0</v>
      </c>
      <c r="P57" s="15">
        <f t="shared" si="5"/>
        <v>-6.0794044665011029</v>
      </c>
      <c r="Q57" s="331">
        <f t="shared" si="6"/>
        <v>0.96048387096774279</v>
      </c>
      <c r="R57" s="615"/>
      <c r="S57" s="34">
        <v>0.76319444444444451</v>
      </c>
      <c r="T57" s="34">
        <v>0.80625000000000002</v>
      </c>
      <c r="U57" s="330">
        <f t="shared" si="38"/>
        <v>5.9999999999999787</v>
      </c>
      <c r="V57" s="334">
        <f t="shared" si="37"/>
        <v>61.999999999999943</v>
      </c>
      <c r="W57" s="16"/>
      <c r="X57" s="16"/>
      <c r="Y57" s="19"/>
      <c r="Z57" s="19"/>
      <c r="AA57" s="624"/>
      <c r="AB57" s="625"/>
      <c r="AC57" s="35"/>
      <c r="AD57" s="18"/>
      <c r="AE57" s="14">
        <f t="shared" si="8"/>
        <v>-79.032258064514508</v>
      </c>
      <c r="AF57" s="331">
        <f t="shared" si="9"/>
        <v>0.96048387096774279</v>
      </c>
      <c r="AG57" s="615"/>
    </row>
    <row r="58" spans="1:33" ht="15.75" customHeight="1">
      <c r="A58" s="630" t="s">
        <v>181</v>
      </c>
      <c r="B58" s="29" t="s">
        <v>15</v>
      </c>
      <c r="C58" s="622" t="s">
        <v>85</v>
      </c>
      <c r="D58" s="623"/>
      <c r="E58" s="29">
        <v>56.43</v>
      </c>
      <c r="F58" s="32">
        <v>1776</v>
      </c>
      <c r="G58" s="330">
        <f t="shared" si="35"/>
        <v>100219.68</v>
      </c>
      <c r="H58" s="33" t="s">
        <v>57</v>
      </c>
      <c r="I58" s="333">
        <v>13</v>
      </c>
      <c r="J58" s="31">
        <v>2000</v>
      </c>
      <c r="K58" s="12">
        <f t="shared" si="1"/>
        <v>153.84615384615384</v>
      </c>
      <c r="L58" s="333">
        <v>13</v>
      </c>
      <c r="M58" s="13">
        <f t="shared" si="39"/>
        <v>1902.8571428571445</v>
      </c>
      <c r="N58" s="13">
        <f t="shared" si="3"/>
        <v>146.37362637362651</v>
      </c>
      <c r="O58" s="14">
        <f t="shared" si="4"/>
        <v>0</v>
      </c>
      <c r="P58" s="15">
        <f t="shared" si="5"/>
        <v>-7.4725274725273323</v>
      </c>
      <c r="Q58" s="331">
        <f t="shared" si="6"/>
        <v>0.95142857142857229</v>
      </c>
      <c r="R58" s="615"/>
      <c r="S58" s="34">
        <v>0.81041666666666667</v>
      </c>
      <c r="T58" s="34">
        <v>0.84930555555555554</v>
      </c>
      <c r="U58" s="330">
        <f t="shared" si="38"/>
        <v>5.9999999999999787</v>
      </c>
      <c r="V58" s="334">
        <f t="shared" si="37"/>
        <v>55.999999999999957</v>
      </c>
      <c r="W58" s="16"/>
      <c r="X58" s="16"/>
      <c r="Y58" s="19"/>
      <c r="Z58" s="19"/>
      <c r="AA58" s="624"/>
      <c r="AB58" s="625"/>
      <c r="AC58" s="35"/>
      <c r="AD58" s="18"/>
      <c r="AE58" s="14">
        <f t="shared" si="8"/>
        <v>-97.142857142855519</v>
      </c>
      <c r="AF58" s="331">
        <f t="shared" si="9"/>
        <v>0.95142857142857229</v>
      </c>
      <c r="AG58" s="615"/>
    </row>
    <row r="59" spans="1:33">
      <c r="A59" s="631" t="s">
        <v>181</v>
      </c>
      <c r="B59" s="29" t="s">
        <v>6</v>
      </c>
      <c r="C59" s="618"/>
      <c r="D59" s="618"/>
      <c r="E59" s="332"/>
      <c r="F59" s="30"/>
      <c r="G59" s="12"/>
      <c r="H59" s="335"/>
      <c r="I59" s="23">
        <v>16.714285714285715</v>
      </c>
      <c r="J59" s="31">
        <v>2000</v>
      </c>
      <c r="K59" s="12">
        <f t="shared" si="1"/>
        <v>119.65811965811965</v>
      </c>
      <c r="L59" s="23">
        <v>16.714285714285715</v>
      </c>
      <c r="M59" s="13">
        <f>AVERAGE(M52:M58)</f>
        <v>1911.5904227666747</v>
      </c>
      <c r="N59" s="12">
        <f t="shared" si="3"/>
        <v>114.36865777236514</v>
      </c>
      <c r="O59" s="14">
        <f t="shared" si="4"/>
        <v>0</v>
      </c>
      <c r="P59" s="15">
        <f t="shared" si="5"/>
        <v>-5.2894618857545055</v>
      </c>
      <c r="Q59" s="331">
        <f t="shared" si="6"/>
        <v>0.95579521138333734</v>
      </c>
      <c r="R59" s="615"/>
      <c r="S59" s="34"/>
      <c r="T59" s="34"/>
      <c r="U59" s="330"/>
      <c r="V59" s="334"/>
      <c r="W59" s="12"/>
      <c r="X59" s="12"/>
      <c r="Y59" s="24">
        <f>SUM(Y52:Y58)</f>
        <v>0</v>
      </c>
      <c r="Z59" s="24">
        <f>SUM(Z52:Z58)</f>
        <v>0</v>
      </c>
      <c r="AA59" s="614"/>
      <c r="AB59" s="614"/>
      <c r="AC59" s="24">
        <v>7</v>
      </c>
      <c r="AD59" s="24">
        <f>SUM(AD52:AD58)</f>
        <v>0</v>
      </c>
      <c r="AE59" s="14">
        <f>M59-J59</f>
        <v>-88.409577233325308</v>
      </c>
      <c r="AF59" s="331">
        <f t="shared" si="9"/>
        <v>0.95579521138333734</v>
      </c>
      <c r="AG59" s="615"/>
    </row>
    <row r="60" spans="1:33" ht="15.75" customHeight="1">
      <c r="A60" s="626" t="s">
        <v>1486</v>
      </c>
      <c r="B60" s="335" t="s">
        <v>40</v>
      </c>
      <c r="C60" s="616" t="s">
        <v>49</v>
      </c>
      <c r="D60" s="616"/>
      <c r="E60" s="29">
        <v>34.36</v>
      </c>
      <c r="F60" s="32">
        <v>2416</v>
      </c>
      <c r="G60" s="330">
        <f t="shared" ref="G60:G64" si="40">E60*F60</f>
        <v>83013.759999999995</v>
      </c>
      <c r="H60" s="33" t="s">
        <v>57</v>
      </c>
      <c r="I60" s="333">
        <v>10</v>
      </c>
      <c r="J60" s="31">
        <v>3000</v>
      </c>
      <c r="K60" s="12">
        <f t="shared" si="1"/>
        <v>300</v>
      </c>
      <c r="L60" s="333">
        <v>10</v>
      </c>
      <c r="M60" s="13">
        <f t="shared" ref="M60:M64" si="41">F60/V60*60</f>
        <v>2899.1999999999989</v>
      </c>
      <c r="N60" s="12">
        <f t="shared" si="3"/>
        <v>289.9199999999999</v>
      </c>
      <c r="O60" s="14">
        <f t="shared" si="4"/>
        <v>0</v>
      </c>
      <c r="P60" s="15">
        <f t="shared" si="5"/>
        <v>-10.080000000000098</v>
      </c>
      <c r="Q60" s="331">
        <f t="shared" si="6"/>
        <v>0.9663999999999997</v>
      </c>
      <c r="R60" s="615">
        <f>Q65</f>
        <v>0.96155424369854969</v>
      </c>
      <c r="S60" s="34">
        <v>0.20833333333333334</v>
      </c>
      <c r="T60" s="34">
        <v>0.24305555555555558</v>
      </c>
      <c r="U60" s="330"/>
      <c r="V60" s="334">
        <f t="shared" ref="V60:V64" si="42">(T60-S60)*24*60</f>
        <v>50.000000000000021</v>
      </c>
      <c r="W60" s="16"/>
      <c r="X60" s="16"/>
      <c r="Y60" s="21"/>
      <c r="Z60" s="21"/>
      <c r="AA60" s="617"/>
      <c r="AB60" s="617"/>
      <c r="AC60" s="35">
        <v>5</v>
      </c>
      <c r="AD60" s="18"/>
      <c r="AE60" s="14">
        <f t="shared" ref="AE60:AE72" si="43">M60-J60</f>
        <v>-100.80000000000109</v>
      </c>
      <c r="AF60" s="331">
        <f t="shared" si="9"/>
        <v>0.96639999999999959</v>
      </c>
      <c r="AG60" s="615">
        <f>AF65</f>
        <v>0.96155424369854969</v>
      </c>
    </row>
    <row r="61" spans="1:33" ht="15.75" customHeight="1">
      <c r="A61" s="626" t="s">
        <v>1487</v>
      </c>
      <c r="B61" s="335" t="s">
        <v>40</v>
      </c>
      <c r="C61" s="616" t="s">
        <v>50</v>
      </c>
      <c r="D61" s="616"/>
      <c r="E61" s="29">
        <v>34.36</v>
      </c>
      <c r="F61" s="32">
        <v>1159</v>
      </c>
      <c r="G61" s="330">
        <f t="shared" si="40"/>
        <v>39823.24</v>
      </c>
      <c r="H61" s="33" t="s">
        <v>57</v>
      </c>
      <c r="I61" s="333">
        <v>10</v>
      </c>
      <c r="J61" s="31">
        <v>3000</v>
      </c>
      <c r="K61" s="12">
        <f t="shared" si="1"/>
        <v>300</v>
      </c>
      <c r="L61" s="333">
        <v>10</v>
      </c>
      <c r="M61" s="13">
        <f t="shared" si="41"/>
        <v>2897.5000000000009</v>
      </c>
      <c r="N61" s="12">
        <f t="shared" si="3"/>
        <v>289.75000000000011</v>
      </c>
      <c r="O61" s="14">
        <f t="shared" si="4"/>
        <v>0</v>
      </c>
      <c r="P61" s="15">
        <f t="shared" si="5"/>
        <v>-10.249999999999886</v>
      </c>
      <c r="Q61" s="331">
        <f t="shared" si="6"/>
        <v>0.96583333333333377</v>
      </c>
      <c r="R61" s="615"/>
      <c r="S61" s="34">
        <v>0.24652777777777779</v>
      </c>
      <c r="T61" s="34">
        <v>0.26319444444444445</v>
      </c>
      <c r="U61" s="330">
        <f t="shared" ref="U61:U64" si="44">(S61-T60)*24*60</f>
        <v>4.9999999999999822</v>
      </c>
      <c r="V61" s="334">
        <f t="shared" si="42"/>
        <v>23.999999999999993</v>
      </c>
      <c r="W61" s="330"/>
      <c r="X61" s="330"/>
      <c r="Y61" s="330"/>
      <c r="Z61" s="330"/>
      <c r="AA61" s="617"/>
      <c r="AB61" s="617"/>
      <c r="AC61" s="35"/>
      <c r="AD61" s="18"/>
      <c r="AE61" s="14">
        <f t="shared" si="43"/>
        <v>-102.49999999999909</v>
      </c>
      <c r="AF61" s="331">
        <f t="shared" si="9"/>
        <v>0.96583333333333365</v>
      </c>
      <c r="AG61" s="615"/>
    </row>
    <row r="62" spans="1:33" ht="15.75" customHeight="1">
      <c r="A62" s="626" t="s">
        <v>182</v>
      </c>
      <c r="B62" s="335" t="s">
        <v>40</v>
      </c>
      <c r="C62" s="616" t="s">
        <v>51</v>
      </c>
      <c r="D62" s="616"/>
      <c r="E62" s="29">
        <v>26.78</v>
      </c>
      <c r="F62" s="32">
        <v>2625</v>
      </c>
      <c r="G62" s="330">
        <f t="shared" si="40"/>
        <v>70297.5</v>
      </c>
      <c r="H62" s="33" t="s">
        <v>57</v>
      </c>
      <c r="I62" s="333">
        <v>10</v>
      </c>
      <c r="J62" s="31">
        <v>3000</v>
      </c>
      <c r="K62" s="12">
        <f t="shared" si="1"/>
        <v>300</v>
      </c>
      <c r="L62" s="333">
        <v>10</v>
      </c>
      <c r="M62" s="13">
        <f t="shared" si="41"/>
        <v>2863.6363636363653</v>
      </c>
      <c r="N62" s="12">
        <f t="shared" si="3"/>
        <v>286.36363636363654</v>
      </c>
      <c r="O62" s="14">
        <f t="shared" si="4"/>
        <v>0</v>
      </c>
      <c r="P62" s="15">
        <f t="shared" si="5"/>
        <v>-13.636363636363455</v>
      </c>
      <c r="Q62" s="331">
        <f t="shared" si="6"/>
        <v>0.95454545454545514</v>
      </c>
      <c r="R62" s="615"/>
      <c r="S62" s="34">
        <v>0.2673611111111111</v>
      </c>
      <c r="T62" s="34">
        <v>0.30555555555555552</v>
      </c>
      <c r="U62" s="330">
        <f t="shared" si="44"/>
        <v>5.9999999999999787</v>
      </c>
      <c r="V62" s="334">
        <f t="shared" si="42"/>
        <v>54.999999999999964</v>
      </c>
      <c r="W62" s="330"/>
      <c r="X62" s="330"/>
      <c r="Y62" s="330"/>
      <c r="Z62" s="330"/>
      <c r="AA62" s="617"/>
      <c r="AB62" s="617"/>
      <c r="AC62" s="35"/>
      <c r="AD62" s="18"/>
      <c r="AE62" s="14">
        <f t="shared" si="43"/>
        <v>-136.36363636363467</v>
      </c>
      <c r="AF62" s="331">
        <f t="shared" si="9"/>
        <v>0.95454545454545514</v>
      </c>
      <c r="AG62" s="615"/>
    </row>
    <row r="63" spans="1:33" ht="15.75" customHeight="1">
      <c r="A63" s="626" t="s">
        <v>182</v>
      </c>
      <c r="B63" s="335" t="s">
        <v>40</v>
      </c>
      <c r="C63" s="616" t="s">
        <v>52</v>
      </c>
      <c r="D63" s="616"/>
      <c r="E63" s="29">
        <v>35.869999999999997</v>
      </c>
      <c r="F63" s="32">
        <v>4140</v>
      </c>
      <c r="G63" s="330">
        <f t="shared" si="40"/>
        <v>148501.79999999999</v>
      </c>
      <c r="H63" s="33" t="s">
        <v>57</v>
      </c>
      <c r="I63" s="333">
        <v>9</v>
      </c>
      <c r="J63" s="31">
        <v>3000</v>
      </c>
      <c r="K63" s="12">
        <f t="shared" si="1"/>
        <v>333.33333333333331</v>
      </c>
      <c r="L63" s="333">
        <v>9</v>
      </c>
      <c r="M63" s="13">
        <f t="shared" si="41"/>
        <v>2855.1724137931028</v>
      </c>
      <c r="N63" s="12">
        <f t="shared" si="3"/>
        <v>317.24137931034477</v>
      </c>
      <c r="O63" s="14">
        <f t="shared" si="4"/>
        <v>0</v>
      </c>
      <c r="P63" s="15">
        <f t="shared" si="5"/>
        <v>-16.091954022988546</v>
      </c>
      <c r="Q63" s="331">
        <f t="shared" si="6"/>
        <v>0.95172413793103439</v>
      </c>
      <c r="R63" s="615"/>
      <c r="S63" s="34">
        <v>0.30902777777777773</v>
      </c>
      <c r="T63" s="34">
        <v>0.36944444444444441</v>
      </c>
      <c r="U63" s="330">
        <f t="shared" si="44"/>
        <v>4.9999999999999822</v>
      </c>
      <c r="V63" s="334">
        <f t="shared" si="42"/>
        <v>87.000000000000014</v>
      </c>
      <c r="W63" s="330"/>
      <c r="X63" s="330"/>
      <c r="Y63" s="330"/>
      <c r="Z63" s="330"/>
      <c r="AA63" s="617"/>
      <c r="AB63" s="617"/>
      <c r="AC63" s="35"/>
      <c r="AD63" s="18"/>
      <c r="AE63" s="14">
        <f t="shared" si="43"/>
        <v>-144.82758620689719</v>
      </c>
      <c r="AF63" s="331">
        <f t="shared" si="9"/>
        <v>0.95172413793103428</v>
      </c>
      <c r="AG63" s="615"/>
    </row>
    <row r="64" spans="1:33">
      <c r="A64" s="627" t="s">
        <v>1487</v>
      </c>
      <c r="B64" s="335" t="s">
        <v>40</v>
      </c>
      <c r="C64" s="616" t="s">
        <v>53</v>
      </c>
      <c r="D64" s="616"/>
      <c r="E64" s="29">
        <v>34.35</v>
      </c>
      <c r="F64" s="32">
        <v>1987</v>
      </c>
      <c r="G64" s="330">
        <f t="shared" si="40"/>
        <v>68253.45</v>
      </c>
      <c r="H64" s="33" t="s">
        <v>57</v>
      </c>
      <c r="I64" s="333">
        <v>8</v>
      </c>
      <c r="J64" s="31">
        <v>3000</v>
      </c>
      <c r="K64" s="12">
        <f t="shared" si="1"/>
        <v>375</v>
      </c>
      <c r="L64" s="333">
        <v>8</v>
      </c>
      <c r="M64" s="13">
        <f t="shared" si="41"/>
        <v>2907.8048780487793</v>
      </c>
      <c r="N64" s="12">
        <f t="shared" si="3"/>
        <v>363.47560975609741</v>
      </c>
      <c r="O64" s="14">
        <f t="shared" si="4"/>
        <v>0</v>
      </c>
      <c r="P64" s="15">
        <f t="shared" si="5"/>
        <v>-11.524390243902587</v>
      </c>
      <c r="Q64" s="331">
        <f t="shared" si="6"/>
        <v>0.96926829268292647</v>
      </c>
      <c r="R64" s="615"/>
      <c r="S64" s="34">
        <v>0.3743055555555555</v>
      </c>
      <c r="T64" s="34">
        <v>0.40277777777777773</v>
      </c>
      <c r="U64" s="330">
        <f t="shared" si="44"/>
        <v>6.9999999999999751</v>
      </c>
      <c r="V64" s="334">
        <f t="shared" si="42"/>
        <v>41.000000000000014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-92.195121951220699</v>
      </c>
      <c r="AF64" s="331">
        <f t="shared" si="9"/>
        <v>0.96926829268292647</v>
      </c>
      <c r="AG64" s="615"/>
    </row>
    <row r="65" spans="1:33">
      <c r="A65" s="627" t="s">
        <v>1487</v>
      </c>
      <c r="B65" s="29" t="s">
        <v>1488</v>
      </c>
      <c r="C65" s="618"/>
      <c r="D65" s="618"/>
      <c r="E65" s="332"/>
      <c r="F65" s="30"/>
      <c r="G65" s="12"/>
      <c r="H65" s="335"/>
      <c r="I65" s="23">
        <v>9.4</v>
      </c>
      <c r="J65" s="31">
        <v>3000</v>
      </c>
      <c r="K65" s="12">
        <f t="shared" si="1"/>
        <v>319.14893617021278</v>
      </c>
      <c r="L65" s="23">
        <v>9.4</v>
      </c>
      <c r="M65" s="13">
        <f>AVERAGE(M60:M64)</f>
        <v>2884.6627310956492</v>
      </c>
      <c r="N65" s="12">
        <f t="shared" si="3"/>
        <v>306.87901394634565</v>
      </c>
      <c r="O65" s="14">
        <f t="shared" si="4"/>
        <v>0</v>
      </c>
      <c r="P65" s="15">
        <f t="shared" si="5"/>
        <v>-12.269922223867127</v>
      </c>
      <c r="Q65" s="331">
        <f t="shared" si="6"/>
        <v>0.96155424369854969</v>
      </c>
      <c r="R65" s="615"/>
      <c r="S65" s="34"/>
      <c r="T65" s="34"/>
      <c r="U65" s="12"/>
      <c r="V65" s="334"/>
      <c r="W65" s="12"/>
      <c r="X65" s="12"/>
      <c r="Y65" s="24">
        <f>SUM(Y60:Y64)</f>
        <v>0</v>
      </c>
      <c r="Z65" s="24">
        <f>SUM(Z60:Z64)</f>
        <v>0</v>
      </c>
      <c r="AA65" s="614"/>
      <c r="AB65" s="614"/>
      <c r="AC65" s="24">
        <v>5</v>
      </c>
      <c r="AD65" s="24">
        <f>SUM(AD60:AD64)</f>
        <v>0</v>
      </c>
      <c r="AE65" s="14">
        <f t="shared" si="43"/>
        <v>-115.33726890435082</v>
      </c>
      <c r="AF65" s="331">
        <f t="shared" si="9"/>
        <v>0.96155424369854969</v>
      </c>
      <c r="AG65" s="615"/>
    </row>
    <row r="66" spans="1:33" ht="15.75" customHeight="1">
      <c r="A66" s="619" t="s">
        <v>14</v>
      </c>
      <c r="B66" s="335" t="s">
        <v>32</v>
      </c>
      <c r="C66" s="616" t="s">
        <v>56</v>
      </c>
      <c r="D66" s="616"/>
      <c r="E66" s="29">
        <v>19.02</v>
      </c>
      <c r="F66" s="335">
        <v>6000</v>
      </c>
      <c r="G66" s="330">
        <f t="shared" ref="G66:G71" si="45">E66*F66</f>
        <v>114120</v>
      </c>
      <c r="H66" s="33">
        <v>2</v>
      </c>
      <c r="I66" s="333">
        <v>14</v>
      </c>
      <c r="J66" s="31">
        <v>2400</v>
      </c>
      <c r="K66" s="12">
        <f t="shared" si="1"/>
        <v>171.42857142857142</v>
      </c>
      <c r="L66" s="333">
        <v>14</v>
      </c>
      <c r="M66" s="13">
        <f t="shared" ref="M66:M71" si="46">F66/V66*60</f>
        <v>2292.993630573249</v>
      </c>
      <c r="N66" s="12">
        <f t="shared" si="3"/>
        <v>163.78525932666065</v>
      </c>
      <c r="O66" s="14">
        <f t="shared" si="4"/>
        <v>0</v>
      </c>
      <c r="P66" s="15">
        <f t="shared" si="5"/>
        <v>-7.6433121019107659</v>
      </c>
      <c r="Q66" s="331">
        <f t="shared" si="6"/>
        <v>0.95541401273885385</v>
      </c>
      <c r="R66" s="615">
        <f>Q72</f>
        <v>0.95389744258851661</v>
      </c>
      <c r="S66" s="34">
        <v>8.3333333333333329E-2</v>
      </c>
      <c r="T66" s="34">
        <v>0.19236111111111109</v>
      </c>
      <c r="U66" s="21"/>
      <c r="V66" s="334">
        <f t="shared" ref="V66:V71" si="47">(T66-S66)*24*60</f>
        <v>156.99999999999997</v>
      </c>
      <c r="W66" s="16">
        <f>T66</f>
        <v>0.19236111111111109</v>
      </c>
      <c r="X66" s="16">
        <f>S67</f>
        <v>0.21249999999999999</v>
      </c>
      <c r="Y66" s="16"/>
      <c r="Z66" s="16"/>
      <c r="AA66" s="617"/>
      <c r="AB66" s="617"/>
      <c r="AC66" s="35">
        <v>6</v>
      </c>
      <c r="AD66" s="18"/>
      <c r="AE66" s="14">
        <f t="shared" si="43"/>
        <v>-107.00636942675101</v>
      </c>
      <c r="AF66" s="331">
        <f t="shared" si="9"/>
        <v>0.95541401273885374</v>
      </c>
      <c r="AG66" s="615">
        <f>AF72</f>
        <v>0.95389744258851672</v>
      </c>
    </row>
    <row r="67" spans="1:33" ht="15.75" customHeight="1">
      <c r="A67" s="620" t="s">
        <v>1489</v>
      </c>
      <c r="B67" s="335" t="s">
        <v>32</v>
      </c>
      <c r="C67" s="616" t="s">
        <v>36</v>
      </c>
      <c r="D67" s="616"/>
      <c r="E67" s="29">
        <v>20.36</v>
      </c>
      <c r="F67" s="335">
        <v>4837</v>
      </c>
      <c r="G67" s="330">
        <f t="shared" si="45"/>
        <v>98481.319999999992</v>
      </c>
      <c r="H67" s="33" t="s">
        <v>57</v>
      </c>
      <c r="I67" s="333">
        <v>17</v>
      </c>
      <c r="J67" s="31">
        <v>2400</v>
      </c>
      <c r="K67" s="12">
        <f t="shared" si="1"/>
        <v>141.1764705882353</v>
      </c>
      <c r="L67" s="333">
        <v>17</v>
      </c>
      <c r="M67" s="13">
        <f t="shared" si="46"/>
        <v>2285.1968503937014</v>
      </c>
      <c r="N67" s="12">
        <f t="shared" si="3"/>
        <v>134.42334414080597</v>
      </c>
      <c r="O67" s="14">
        <f t="shared" si="4"/>
        <v>0</v>
      </c>
      <c r="P67" s="15">
        <f t="shared" si="5"/>
        <v>-6.753126447429338</v>
      </c>
      <c r="Q67" s="331">
        <f t="shared" si="6"/>
        <v>0.95216535433070881</v>
      </c>
      <c r="R67" s="615"/>
      <c r="S67" s="34">
        <v>0.21249999999999999</v>
      </c>
      <c r="T67" s="34">
        <v>0.30069444444444443</v>
      </c>
      <c r="U67" s="330">
        <f t="shared" ref="U67:U71" si="48">(S67-T66)*24*60</f>
        <v>29.000000000000018</v>
      </c>
      <c r="V67" s="334">
        <f t="shared" si="47"/>
        <v>126.99999999999997</v>
      </c>
      <c r="W67" s="16"/>
      <c r="X67" s="16"/>
      <c r="Y67" s="16"/>
      <c r="Z67" s="16"/>
      <c r="AA67" s="617"/>
      <c r="AB67" s="617"/>
      <c r="AC67" s="35"/>
      <c r="AD67" s="18"/>
      <c r="AE67" s="14">
        <f t="shared" si="43"/>
        <v>-114.80314960629858</v>
      </c>
      <c r="AF67" s="331">
        <f t="shared" si="9"/>
        <v>0.95216535433070892</v>
      </c>
      <c r="AG67" s="615"/>
    </row>
    <row r="68" spans="1:33" ht="15.75" customHeight="1">
      <c r="A68" s="620" t="s">
        <v>1489</v>
      </c>
      <c r="B68" s="335" t="s">
        <v>32</v>
      </c>
      <c r="C68" s="616" t="s">
        <v>54</v>
      </c>
      <c r="D68" s="616"/>
      <c r="E68" s="29">
        <v>20.21</v>
      </c>
      <c r="F68" s="335">
        <v>3430</v>
      </c>
      <c r="G68" s="330">
        <f t="shared" si="45"/>
        <v>69320.3</v>
      </c>
      <c r="H68" s="33" t="s">
        <v>57</v>
      </c>
      <c r="I68" s="333">
        <v>15</v>
      </c>
      <c r="J68" s="31">
        <v>2400</v>
      </c>
      <c r="K68" s="12">
        <f t="shared" si="1"/>
        <v>160</v>
      </c>
      <c r="L68" s="333">
        <v>15</v>
      </c>
      <c r="M68" s="13">
        <f t="shared" si="46"/>
        <v>2286.666666666667</v>
      </c>
      <c r="N68" s="12">
        <f t="shared" si="3"/>
        <v>152.44444444444446</v>
      </c>
      <c r="O68" s="14">
        <f t="shared" si="4"/>
        <v>0</v>
      </c>
      <c r="P68" s="15">
        <f t="shared" si="5"/>
        <v>-7.5555555555555429</v>
      </c>
      <c r="Q68" s="331">
        <f t="shared" si="6"/>
        <v>0.95277777777777783</v>
      </c>
      <c r="R68" s="615"/>
      <c r="S68" s="34">
        <v>0.30555555555555552</v>
      </c>
      <c r="T68" s="34">
        <v>0.36805555555555552</v>
      </c>
      <c r="U68" s="330">
        <f t="shared" si="48"/>
        <v>6.9999999999999751</v>
      </c>
      <c r="V68" s="334">
        <f t="shared" si="47"/>
        <v>90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-113.33333333333303</v>
      </c>
      <c r="AF68" s="331">
        <f t="shared" si="9"/>
        <v>0.95277777777777795</v>
      </c>
      <c r="AG68" s="615"/>
    </row>
    <row r="69" spans="1:33" ht="15.75" customHeight="1">
      <c r="A69" s="620" t="s">
        <v>14</v>
      </c>
      <c r="B69" s="335" t="s">
        <v>32</v>
      </c>
      <c r="C69" s="616" t="s">
        <v>55</v>
      </c>
      <c r="D69" s="616"/>
      <c r="E69" s="29">
        <v>22.69</v>
      </c>
      <c r="F69" s="335">
        <v>3465</v>
      </c>
      <c r="G69" s="330">
        <f t="shared" si="45"/>
        <v>78620.850000000006</v>
      </c>
      <c r="H69" s="33" t="s">
        <v>57</v>
      </c>
      <c r="I69" s="333">
        <v>15</v>
      </c>
      <c r="J69" s="31">
        <v>2400</v>
      </c>
      <c r="K69" s="12">
        <f t="shared" ref="K69:K72" si="49">J69/I69</f>
        <v>160</v>
      </c>
      <c r="L69" s="333">
        <v>15</v>
      </c>
      <c r="M69" s="13">
        <f t="shared" si="46"/>
        <v>2284.6153846153848</v>
      </c>
      <c r="N69" s="12">
        <f t="shared" ref="N69:N72" si="50">M69/L69</f>
        <v>152.30769230769232</v>
      </c>
      <c r="O69" s="14">
        <f t="shared" ref="O69:O72" si="51">L69-I69</f>
        <v>0</v>
      </c>
      <c r="P69" s="15">
        <f t="shared" ref="P69:P72" si="52">N69-K69</f>
        <v>-7.6923076923076792</v>
      </c>
      <c r="Q69" s="331">
        <f t="shared" ref="Q69:Q72" si="53">N69/K69</f>
        <v>0.95192307692307698</v>
      </c>
      <c r="R69" s="615"/>
      <c r="S69" s="34">
        <v>0.37222222222222218</v>
      </c>
      <c r="T69" s="34">
        <v>0.43541666666666662</v>
      </c>
      <c r="U69" s="330">
        <f t="shared" si="48"/>
        <v>5.9999999999999787</v>
      </c>
      <c r="V69" s="334">
        <f t="shared" si="47"/>
        <v>91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-115.38461538461524</v>
      </c>
      <c r="AF69" s="331">
        <f t="shared" ref="AF69:AF72" si="54">M69/J69</f>
        <v>0.95192307692307698</v>
      </c>
      <c r="AG69" s="615"/>
    </row>
    <row r="70" spans="1:33" ht="15.75" customHeight="1">
      <c r="A70" s="620" t="s">
        <v>14</v>
      </c>
      <c r="B70" s="335" t="s">
        <v>32</v>
      </c>
      <c r="C70" s="616" t="s">
        <v>949</v>
      </c>
      <c r="D70" s="616"/>
      <c r="E70" s="29">
        <v>25.98</v>
      </c>
      <c r="F70" s="335">
        <v>4487</v>
      </c>
      <c r="G70" s="330">
        <f t="shared" si="45"/>
        <v>116572.26</v>
      </c>
      <c r="H70" s="33" t="s">
        <v>57</v>
      </c>
      <c r="I70" s="333">
        <v>17</v>
      </c>
      <c r="J70" s="31">
        <v>2400</v>
      </c>
      <c r="K70" s="12">
        <f t="shared" si="49"/>
        <v>141.1764705882353</v>
      </c>
      <c r="L70" s="333">
        <v>17</v>
      </c>
      <c r="M70" s="13">
        <f t="shared" si="46"/>
        <v>2301.0256410256411</v>
      </c>
      <c r="N70" s="12">
        <f t="shared" si="50"/>
        <v>135.35444947209655</v>
      </c>
      <c r="O70" s="14">
        <f t="shared" si="51"/>
        <v>0</v>
      </c>
      <c r="P70" s="15">
        <f t="shared" si="52"/>
        <v>-5.8220211161387567</v>
      </c>
      <c r="Q70" s="331">
        <f t="shared" si="53"/>
        <v>0.9587606837606838</v>
      </c>
      <c r="R70" s="615"/>
      <c r="S70" s="34">
        <v>0.43958333333333327</v>
      </c>
      <c r="T70" s="34">
        <v>0.52083333333333326</v>
      </c>
      <c r="U70" s="330">
        <f t="shared" si="48"/>
        <v>5.9999999999999787</v>
      </c>
      <c r="V70" s="334">
        <f t="shared" si="47"/>
        <v>116.99999999999999</v>
      </c>
      <c r="W70" s="16">
        <f>T70</f>
        <v>0.52083333333333326</v>
      </c>
      <c r="X70" s="16">
        <f>S71</f>
        <v>0.55972222222222212</v>
      </c>
      <c r="Y70" s="16"/>
      <c r="Z70" s="16"/>
      <c r="AA70" s="617"/>
      <c r="AB70" s="617"/>
      <c r="AC70" s="35"/>
      <c r="AD70" s="18"/>
      <c r="AE70" s="14">
        <f t="shared" si="43"/>
        <v>-98.974358974358893</v>
      </c>
      <c r="AF70" s="331">
        <f t="shared" si="54"/>
        <v>0.9587606837606838</v>
      </c>
      <c r="AG70" s="615"/>
    </row>
    <row r="71" spans="1:33" ht="15.75" customHeight="1">
      <c r="A71" s="620" t="s">
        <v>14</v>
      </c>
      <c r="B71" s="335" t="s">
        <v>32</v>
      </c>
      <c r="C71" s="616" t="s">
        <v>56</v>
      </c>
      <c r="D71" s="616"/>
      <c r="E71" s="29">
        <v>19.02</v>
      </c>
      <c r="F71" s="335">
        <v>4876</v>
      </c>
      <c r="G71" s="330">
        <f t="shared" si="45"/>
        <v>92741.52</v>
      </c>
      <c r="H71" s="33" t="s">
        <v>57</v>
      </c>
      <c r="I71" s="333">
        <v>14</v>
      </c>
      <c r="J71" s="31">
        <v>2400</v>
      </c>
      <c r="K71" s="12">
        <f t="shared" si="49"/>
        <v>171.42857142857142</v>
      </c>
      <c r="L71" s="333">
        <v>14</v>
      </c>
      <c r="M71" s="13">
        <f t="shared" si="46"/>
        <v>2285.6249999999995</v>
      </c>
      <c r="N71" s="12">
        <f t="shared" si="50"/>
        <v>163.25892857142853</v>
      </c>
      <c r="O71" s="14">
        <f t="shared" si="51"/>
        <v>0</v>
      </c>
      <c r="P71" s="15">
        <f t="shared" si="52"/>
        <v>-8.1696428571428896</v>
      </c>
      <c r="Q71" s="331">
        <f t="shared" si="53"/>
        <v>0.95234374999999982</v>
      </c>
      <c r="R71" s="615"/>
      <c r="S71" s="34">
        <v>0.55972222222222212</v>
      </c>
      <c r="T71" s="34">
        <v>0.64861111111111103</v>
      </c>
      <c r="U71" s="330">
        <f t="shared" si="48"/>
        <v>55.999999999999957</v>
      </c>
      <c r="V71" s="334">
        <f t="shared" si="47"/>
        <v>128.00000000000003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-114.37500000000045</v>
      </c>
      <c r="AF71" s="331">
        <f t="shared" si="54"/>
        <v>0.95234374999999982</v>
      </c>
      <c r="AG71" s="615"/>
    </row>
    <row r="72" spans="1:33" ht="16.5" customHeight="1">
      <c r="A72" s="621" t="s">
        <v>14</v>
      </c>
      <c r="B72" s="29" t="s">
        <v>1490</v>
      </c>
      <c r="C72" s="612"/>
      <c r="D72" s="613"/>
      <c r="E72" s="332"/>
      <c r="F72" s="30"/>
      <c r="G72" s="12"/>
      <c r="H72" s="335"/>
      <c r="I72" s="23">
        <v>15.333333333333334</v>
      </c>
      <c r="J72" s="31">
        <v>2400</v>
      </c>
      <c r="K72" s="12">
        <f t="shared" si="49"/>
        <v>156.52173913043478</v>
      </c>
      <c r="L72" s="23">
        <v>15.333333333333334</v>
      </c>
      <c r="M72" s="13">
        <f>AVERAGE(M66:M71)</f>
        <v>2289.3538622124402</v>
      </c>
      <c r="N72" s="12">
        <f t="shared" si="50"/>
        <v>149.30568666602869</v>
      </c>
      <c r="O72" s="14">
        <f t="shared" si="51"/>
        <v>0</v>
      </c>
      <c r="P72" s="15">
        <f t="shared" si="52"/>
        <v>-7.2160524644060899</v>
      </c>
      <c r="Q72" s="331">
        <f t="shared" si="53"/>
        <v>0.95389744258851661</v>
      </c>
      <c r="R72" s="615"/>
      <c r="S72" s="34"/>
      <c r="T72" s="34"/>
      <c r="U72" s="12"/>
      <c r="V72" s="334"/>
      <c r="W72" s="12"/>
      <c r="X72" s="12"/>
      <c r="Y72" s="24">
        <f>SUM(Y66:Y71)</f>
        <v>0</v>
      </c>
      <c r="Z72" s="24">
        <f>SUM(Z66:Z71)</f>
        <v>0</v>
      </c>
      <c r="AA72" s="614"/>
      <c r="AB72" s="614"/>
      <c r="AC72" s="24">
        <v>6</v>
      </c>
      <c r="AD72" s="24">
        <f>SUM(AD66:AD71)</f>
        <v>0</v>
      </c>
      <c r="AE72" s="14">
        <f t="shared" si="43"/>
        <v>-110.64613778755984</v>
      </c>
      <c r="AF72" s="331">
        <f t="shared" si="54"/>
        <v>0.95389744258851672</v>
      </c>
      <c r="AG72" s="615"/>
    </row>
    <row r="73" spans="1:33">
      <c r="D73" s="25"/>
      <c r="E73" s="25"/>
    </row>
  </sheetData>
  <mergeCells count="191">
    <mergeCell ref="AG66:AG72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66:A72"/>
    <mergeCell ref="C66:D66"/>
    <mergeCell ref="R66:R72"/>
    <mergeCell ref="AA66:AB66"/>
    <mergeCell ref="AA71:AB71"/>
    <mergeCell ref="A60:A65"/>
    <mergeCell ref="C60:D60"/>
    <mergeCell ref="R60:R65"/>
    <mergeCell ref="AA60:AB60"/>
    <mergeCell ref="C72:D72"/>
    <mergeCell ref="AA72:AB72"/>
    <mergeCell ref="AG60:AG65"/>
    <mergeCell ref="C61:D61"/>
    <mergeCell ref="AA61:AB61"/>
    <mergeCell ref="C62:D62"/>
    <mergeCell ref="AA62:AB62"/>
    <mergeCell ref="C63:D63"/>
    <mergeCell ref="AA56:AB56"/>
    <mergeCell ref="C57:D57"/>
    <mergeCell ref="AA57:AB57"/>
    <mergeCell ref="C58:D58"/>
    <mergeCell ref="AA58:AB58"/>
    <mergeCell ref="C59:D59"/>
    <mergeCell ref="AA59:AB59"/>
    <mergeCell ref="AA63:AB63"/>
    <mergeCell ref="C64:D64"/>
    <mergeCell ref="AA64:AB64"/>
    <mergeCell ref="C65:D65"/>
    <mergeCell ref="AA65:AB65"/>
    <mergeCell ref="A52:A59"/>
    <mergeCell ref="C52:D52"/>
    <mergeCell ref="R52:R59"/>
    <mergeCell ref="AA52:AB52"/>
    <mergeCell ref="AG52:AG59"/>
    <mergeCell ref="C53:D53"/>
    <mergeCell ref="AA53:AB53"/>
    <mergeCell ref="C54:D54"/>
    <mergeCell ref="AA54:AB54"/>
    <mergeCell ref="AA55:AB55"/>
    <mergeCell ref="A47:A51"/>
    <mergeCell ref="C47:D47"/>
    <mergeCell ref="R47:R51"/>
    <mergeCell ref="AA47:AB47"/>
    <mergeCell ref="AG39:AG46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47:AG51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A39:A46"/>
    <mergeCell ref="C39:D39"/>
    <mergeCell ref="R39:R46"/>
    <mergeCell ref="AA39:AB39"/>
    <mergeCell ref="AA44:AB44"/>
    <mergeCell ref="C45:D45"/>
    <mergeCell ref="AA45:AB45"/>
    <mergeCell ref="C46:D46"/>
    <mergeCell ref="AA46:AB46"/>
    <mergeCell ref="A31:A38"/>
    <mergeCell ref="C31:D31"/>
    <mergeCell ref="R31:R38"/>
    <mergeCell ref="AA31:AB31"/>
    <mergeCell ref="AA36:AB36"/>
    <mergeCell ref="C37:D37"/>
    <mergeCell ref="AG31:AG38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8:D38"/>
    <mergeCell ref="AA38:AB38"/>
    <mergeCell ref="AG22:AG30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30:D30"/>
    <mergeCell ref="AA30:AB30"/>
    <mergeCell ref="A22:A30"/>
    <mergeCell ref="C22:D22"/>
    <mergeCell ref="R22:R30"/>
    <mergeCell ref="AA22:AB22"/>
    <mergeCell ref="AA27:AB27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9:O60 O63:O72 O5:O9 O13:O15 O21:O57">
    <cfRule type="cellIs" dxfId="1079" priority="49" operator="greaterThan">
      <formula>0</formula>
    </cfRule>
  </conditionalFormatting>
  <conditionalFormatting sqref="P5:P7 P63:P64 AE63:AE64 P66:P71 P31:P37 P60 P9 P13:P15 P22:P29 P52:P57 P39:P50 AE5:AE60 AE66:AE72">
    <cfRule type="cellIs" dxfId="1078" priority="53" operator="lessThan">
      <formula>0</formula>
    </cfRule>
  </conditionalFormatting>
  <conditionalFormatting sqref="AF63:AF64 Q59:Q60 Q63:Q72 Q5:Q9 Q13:Q15 Q21:Q57 AF5:AF60 AF66:AF72">
    <cfRule type="cellIs" dxfId="1077" priority="50" operator="greaterThan">
      <formula>1</formula>
    </cfRule>
    <cfRule type="cellIs" dxfId="1076" priority="51" operator="lessThan">
      <formula>0.8</formula>
    </cfRule>
  </conditionalFormatting>
  <conditionalFormatting sqref="AG14:AG15 R14:R15 AG63 R21:R27 AG21:AG27 AG59:AG60 R59:R60 R63:R72 AG5:AG9 R5:R9 AG30:AG57 R30:R57">
    <cfRule type="cellIs" dxfId="1075" priority="55" operator="lessThan">
      <formula>0.8</formula>
    </cfRule>
  </conditionalFormatting>
  <conditionalFormatting sqref="AG47">
    <cfRule type="cellIs" dxfId="1074" priority="57" operator="lessThan">
      <formula>0.8</formula>
    </cfRule>
  </conditionalFormatting>
  <conditionalFormatting sqref="AG22:AG27">
    <cfRule type="cellIs" dxfId="1073" priority="54" operator="lessThan">
      <formula>0.8</formula>
    </cfRule>
  </conditionalFormatting>
  <conditionalFormatting sqref="AG31">
    <cfRule type="cellIs" dxfId="1072" priority="56" operator="lessThan">
      <formula>0.8</formula>
    </cfRule>
  </conditionalFormatting>
  <conditionalFormatting sqref="AG39:AG45">
    <cfRule type="cellIs" dxfId="1071" priority="52" operator="lessThan">
      <formula>0.8</formula>
    </cfRule>
  </conditionalFormatting>
  <conditionalFormatting sqref="AE65">
    <cfRule type="cellIs" dxfId="1070" priority="48" operator="lessThan">
      <formula>0</formula>
    </cfRule>
  </conditionalFormatting>
  <conditionalFormatting sqref="AF65">
    <cfRule type="cellIs" dxfId="1069" priority="46" operator="greaterThan">
      <formula>1</formula>
    </cfRule>
    <cfRule type="cellIs" dxfId="1068" priority="47" operator="lessThan">
      <formula>0.8</formula>
    </cfRule>
  </conditionalFormatting>
  <conditionalFormatting sqref="O16:O17">
    <cfRule type="cellIs" dxfId="1067" priority="41" operator="greaterThan">
      <formula>0</formula>
    </cfRule>
  </conditionalFormatting>
  <conditionalFormatting sqref="P16:P17">
    <cfRule type="cellIs" dxfId="1066" priority="44" operator="lessThan">
      <formula>0</formula>
    </cfRule>
  </conditionalFormatting>
  <conditionalFormatting sqref="Q16:Q17">
    <cfRule type="cellIs" dxfId="1065" priority="42" operator="greaterThan">
      <formula>1</formula>
    </cfRule>
    <cfRule type="cellIs" dxfId="1064" priority="43" operator="lessThan">
      <formula>0.8</formula>
    </cfRule>
  </conditionalFormatting>
  <conditionalFormatting sqref="R16:R17 AG16:AG17">
    <cfRule type="cellIs" dxfId="1063" priority="45" operator="lessThan">
      <formula>0.8</formula>
    </cfRule>
  </conditionalFormatting>
  <conditionalFormatting sqref="O10:O12">
    <cfRule type="cellIs" dxfId="1062" priority="37" operator="greaterThan">
      <formula>0</formula>
    </cfRule>
  </conditionalFormatting>
  <conditionalFormatting sqref="P10:P12">
    <cfRule type="cellIs" dxfId="1061" priority="40" operator="lessThan">
      <formula>0</formula>
    </cfRule>
  </conditionalFormatting>
  <conditionalFormatting sqref="Q10:Q12">
    <cfRule type="cellIs" dxfId="1060" priority="38" operator="greaterThan">
      <formula>1</formula>
    </cfRule>
    <cfRule type="cellIs" dxfId="1059" priority="39" operator="lessThan">
      <formula>0.8</formula>
    </cfRule>
  </conditionalFormatting>
  <conditionalFormatting sqref="O58">
    <cfRule type="cellIs" dxfId="1058" priority="32" operator="greaterThan">
      <formula>0</formula>
    </cfRule>
  </conditionalFormatting>
  <conditionalFormatting sqref="P58">
    <cfRule type="cellIs" dxfId="1057" priority="35" operator="lessThan">
      <formula>0</formula>
    </cfRule>
  </conditionalFormatting>
  <conditionalFormatting sqref="Q58">
    <cfRule type="cellIs" dxfId="1056" priority="33" operator="greaterThan">
      <formula>1</formula>
    </cfRule>
    <cfRule type="cellIs" dxfId="1055" priority="34" operator="lessThan">
      <formula>0.8</formula>
    </cfRule>
  </conditionalFormatting>
  <conditionalFormatting sqref="R58 AG58">
    <cfRule type="cellIs" dxfId="1054" priority="36" operator="lessThan">
      <formula>0.8</formula>
    </cfRule>
  </conditionalFormatting>
  <conditionalFormatting sqref="AG29 R29">
    <cfRule type="cellIs" dxfId="1053" priority="31" operator="lessThan">
      <formula>0.8</formula>
    </cfRule>
  </conditionalFormatting>
  <conditionalFormatting sqref="O62">
    <cfRule type="cellIs" dxfId="1052" priority="26" operator="greaterThan">
      <formula>0</formula>
    </cfRule>
  </conditionalFormatting>
  <conditionalFormatting sqref="P62 AE62">
    <cfRule type="cellIs" dxfId="1051" priority="29" operator="lessThan">
      <formula>0</formula>
    </cfRule>
  </conditionalFormatting>
  <conditionalFormatting sqref="Q62 AF62">
    <cfRule type="cellIs" dxfId="1050" priority="27" operator="greaterThan">
      <formula>1</formula>
    </cfRule>
    <cfRule type="cellIs" dxfId="1049" priority="28" operator="lessThan">
      <formula>0.8</formula>
    </cfRule>
  </conditionalFormatting>
  <conditionalFormatting sqref="R62 AG62">
    <cfRule type="cellIs" dxfId="1048" priority="30" operator="lessThan">
      <formula>0.8</formula>
    </cfRule>
  </conditionalFormatting>
  <conditionalFormatting sqref="O18:O19">
    <cfRule type="cellIs" dxfId="1047" priority="21" operator="greaterThan">
      <formula>0</formula>
    </cfRule>
  </conditionalFormatting>
  <conditionalFormatting sqref="P18:P19">
    <cfRule type="cellIs" dxfId="1046" priority="24" operator="lessThan">
      <formula>0</formula>
    </cfRule>
  </conditionalFormatting>
  <conditionalFormatting sqref="Q18:Q19">
    <cfRule type="cellIs" dxfId="1045" priority="22" operator="greaterThan">
      <formula>1</formula>
    </cfRule>
    <cfRule type="cellIs" dxfId="1044" priority="23" operator="lessThan">
      <formula>0.8</formula>
    </cfRule>
  </conditionalFormatting>
  <conditionalFormatting sqref="R18:R19 AG18:AG19">
    <cfRule type="cellIs" dxfId="1043" priority="25" operator="lessThan">
      <formula>0.8</formula>
    </cfRule>
  </conditionalFormatting>
  <conditionalFormatting sqref="R28 AG28">
    <cfRule type="cellIs" dxfId="1042" priority="20" operator="lessThan">
      <formula>0.8</formula>
    </cfRule>
  </conditionalFormatting>
  <conditionalFormatting sqref="AG28">
    <cfRule type="cellIs" dxfId="1041" priority="19" operator="lessThan">
      <formula>0.8</formula>
    </cfRule>
  </conditionalFormatting>
  <conditionalFormatting sqref="O61">
    <cfRule type="cellIs" dxfId="1040" priority="14" operator="greaterThan">
      <formula>0</formula>
    </cfRule>
  </conditionalFormatting>
  <conditionalFormatting sqref="P61 AE61">
    <cfRule type="cellIs" dxfId="1039" priority="17" operator="lessThan">
      <formula>0</formula>
    </cfRule>
  </conditionalFormatting>
  <conditionalFormatting sqref="Q61 AF61">
    <cfRule type="cellIs" dxfId="1038" priority="15" operator="greaterThan">
      <formula>1</formula>
    </cfRule>
    <cfRule type="cellIs" dxfId="1037" priority="16" operator="lessThan">
      <formula>0.8</formula>
    </cfRule>
  </conditionalFormatting>
  <conditionalFormatting sqref="R61 AG61">
    <cfRule type="cellIs" dxfId="1036" priority="18" operator="lessThan">
      <formula>0.8</formula>
    </cfRule>
  </conditionalFormatting>
  <conditionalFormatting sqref="O20">
    <cfRule type="cellIs" dxfId="1035" priority="9" operator="greaterThan">
      <formula>0</formula>
    </cfRule>
  </conditionalFormatting>
  <conditionalFormatting sqref="P20">
    <cfRule type="cellIs" dxfId="1034" priority="12" operator="lessThan">
      <formula>0</formula>
    </cfRule>
  </conditionalFormatting>
  <conditionalFormatting sqref="Q20">
    <cfRule type="cellIs" dxfId="1033" priority="10" operator="greaterThan">
      <formula>1</formula>
    </cfRule>
    <cfRule type="cellIs" dxfId="1032" priority="11" operator="lessThan">
      <formula>0.8</formula>
    </cfRule>
  </conditionalFormatting>
  <conditionalFormatting sqref="AG20 R20">
    <cfRule type="cellIs" dxfId="1031" priority="13" operator="lessThan">
      <formula>0.8</formula>
    </cfRule>
  </conditionalFormatting>
  <conditionalFormatting sqref="P8">
    <cfRule type="cellIs" dxfId="1030" priority="8" operator="lessThan">
      <formula>0</formula>
    </cfRule>
  </conditionalFormatting>
  <conditionalFormatting sqref="P21">
    <cfRule type="cellIs" dxfId="1029" priority="7" operator="lessThan">
      <formula>0</formula>
    </cfRule>
  </conditionalFormatting>
  <conditionalFormatting sqref="P30">
    <cfRule type="cellIs" dxfId="1028" priority="6" operator="lessThan">
      <formula>0</formula>
    </cfRule>
  </conditionalFormatting>
  <conditionalFormatting sqref="P38">
    <cfRule type="cellIs" dxfId="1027" priority="5" operator="lessThan">
      <formula>0</formula>
    </cfRule>
  </conditionalFormatting>
  <conditionalFormatting sqref="P51">
    <cfRule type="cellIs" dxfId="1026" priority="4" operator="lessThan">
      <formula>0</formula>
    </cfRule>
  </conditionalFormatting>
  <conditionalFormatting sqref="P59">
    <cfRule type="cellIs" dxfId="1025" priority="3" operator="lessThan">
      <formula>0</formula>
    </cfRule>
  </conditionalFormatting>
  <conditionalFormatting sqref="P65">
    <cfRule type="cellIs" dxfId="1024" priority="2" operator="lessThan">
      <formula>0</formula>
    </cfRule>
  </conditionalFormatting>
  <conditionalFormatting sqref="P72">
    <cfRule type="cellIs" dxfId="1023" priority="1" operator="lessThan">
      <formula>0</formula>
    </cfRule>
  </conditionalFormatting>
  <dataValidations count="1">
    <dataValidation type="list" allowBlank="1" showInputMessage="1" showErrorMessage="1" sqref="AB8 AA5:AB7 AB64 AA8:AA64 AB10:AB60 AA65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1358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1359</v>
      </c>
      <c r="C3" s="601" t="str">
        <f>TEXT('0615 4度C'!A2,"yyyy.mm.ddaaaa")</f>
        <v>2026.06.15星期一</v>
      </c>
      <c r="D3" s="602"/>
      <c r="E3" s="39" t="s">
        <v>1360</v>
      </c>
      <c r="F3" s="603">
        <f>'0615 4度C'!D1</f>
        <v>200882</v>
      </c>
      <c r="G3" s="604"/>
      <c r="H3" s="39" t="s">
        <v>1361</v>
      </c>
      <c r="I3" s="605">
        <f>'0615 4度C'!F1</f>
        <v>6903691.6300000008</v>
      </c>
      <c r="J3" s="606"/>
      <c r="K3" s="40"/>
      <c r="L3" s="41"/>
      <c r="M3" s="42"/>
      <c r="N3" s="42"/>
    </row>
    <row r="4" spans="2:17" ht="28.5" customHeight="1">
      <c r="B4" s="607" t="s">
        <v>1362</v>
      </c>
      <c r="C4" s="593" t="s">
        <v>1363</v>
      </c>
      <c r="D4" s="594"/>
      <c r="E4" s="610" t="s">
        <v>1364</v>
      </c>
      <c r="F4" s="611"/>
      <c r="G4" s="610" t="s">
        <v>1365</v>
      </c>
      <c r="H4" s="611"/>
      <c r="I4" s="610" t="s">
        <v>1366</v>
      </c>
      <c r="J4" s="611"/>
      <c r="K4" s="591" t="s">
        <v>1367</v>
      </c>
      <c r="L4" s="592"/>
      <c r="M4" s="592" t="s">
        <v>1368</v>
      </c>
      <c r="N4" s="592"/>
    </row>
    <row r="5" spans="2:17" ht="28.5" customHeight="1">
      <c r="B5" s="608"/>
      <c r="C5" s="593" t="s">
        <v>1369</v>
      </c>
      <c r="D5" s="594"/>
      <c r="E5" s="593" t="s">
        <v>1370</v>
      </c>
      <c r="F5" s="594"/>
      <c r="G5" s="595" t="s">
        <v>1371</v>
      </c>
      <c r="H5" s="596"/>
      <c r="I5" s="597" t="s">
        <v>1372</v>
      </c>
      <c r="J5" s="598"/>
      <c r="K5" s="43" t="s">
        <v>1373</v>
      </c>
      <c r="L5" s="44" t="s">
        <v>1374</v>
      </c>
      <c r="M5" s="43" t="s">
        <v>1375</v>
      </c>
      <c r="N5" s="44" t="s">
        <v>1376</v>
      </c>
    </row>
    <row r="6" spans="2:17" ht="28.5" customHeight="1">
      <c r="B6" s="608"/>
      <c r="C6" s="593" t="s">
        <v>58</v>
      </c>
      <c r="D6" s="594"/>
      <c r="E6" s="585">
        <f>AVERAGE(D13:M13)</f>
        <v>154.29088446264296</v>
      </c>
      <c r="F6" s="586">
        <f>AVERAGE(D31:O31,D13:J13)</f>
        <v>160.97355029730559</v>
      </c>
      <c r="G6" s="587">
        <f>AVERAGE(D13:J13)</f>
        <v>160.97355029730559</v>
      </c>
      <c r="H6" s="588"/>
      <c r="I6" s="587">
        <f>AVERAGE(K13:M13)</f>
        <v>138.69799751509689</v>
      </c>
      <c r="J6" s="588"/>
      <c r="K6" s="589">
        <f>'0615 4度C'!Y2</f>
        <v>0</v>
      </c>
      <c r="L6" s="574">
        <f>'0615 4度C'!Z2</f>
        <v>0</v>
      </c>
      <c r="M6" s="590">
        <f>'0615 4度C'!AC2</f>
        <v>61</v>
      </c>
      <c r="N6" s="574">
        <f>'0615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147.78312873796423</v>
      </c>
      <c r="F7" s="578">
        <f>AVERAGE(D32:O32,D14:J14)</f>
        <v>154.30663132305659</v>
      </c>
      <c r="G7" s="579">
        <f>AVERAGE(D14:J14)</f>
        <v>154.30663132305659</v>
      </c>
      <c r="H7" s="580"/>
      <c r="I7" s="579">
        <f>AVERAGE(K14:M14)</f>
        <v>132.56162270608206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0.95753784766617334</v>
      </c>
      <c r="F8" s="582">
        <f>AVERAGE(D15:J15,D33:O33)</f>
        <v>0.95829791361414285</v>
      </c>
      <c r="G8" s="583">
        <f>AVERAGE(D15:J15)</f>
        <v>0.95829791361414285</v>
      </c>
      <c r="H8" s="584"/>
      <c r="I8" s="583">
        <f>AVERAGE(K15:M15)</f>
        <v>0.95576436045424373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1377</v>
      </c>
      <c r="N9" s="42"/>
      <c r="O9" s="42"/>
      <c r="P9" s="42"/>
      <c r="Q9" s="42"/>
    </row>
    <row r="10" spans="2:17" ht="30" customHeight="1">
      <c r="B10" s="557" t="s">
        <v>1378</v>
      </c>
      <c r="C10" s="558"/>
      <c r="D10" s="559" t="s">
        <v>1379</v>
      </c>
      <c r="E10" s="560"/>
      <c r="F10" s="560"/>
      <c r="G10" s="560"/>
      <c r="H10" s="560"/>
      <c r="I10" s="560"/>
      <c r="J10" s="561"/>
      <c r="K10" s="562" t="s">
        <v>1380</v>
      </c>
      <c r="L10" s="563"/>
      <c r="M10" s="564"/>
      <c r="P10" s="48"/>
      <c r="Q10" s="48"/>
    </row>
    <row r="11" spans="2:17" ht="17.25" customHeight="1">
      <c r="B11" s="565" t="s">
        <v>1381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1382</v>
      </c>
      <c r="C13" s="55" t="s">
        <v>1383</v>
      </c>
      <c r="D13" s="56">
        <f>SUMIFS('0615 4度C'!$K:$K,'0615 4度C'!$A:$A,"新豐6線",'0615 4度C'!$B:$B,"平均")</f>
        <v>129.03225806451613</v>
      </c>
      <c r="E13" s="57">
        <f>SUMIFS('0615 4度C'!$K:$K,'0615 4度C'!$A:$A,"新豐2線",'0615 4度C'!$B:$B,"平均")</f>
        <v>86.956521739130437</v>
      </c>
      <c r="F13" s="58">
        <f>SUMIFS('0615 4度C'!$K:$K,'0615 4度C'!$A:$A,"新豐5線",'0615 4度C'!$B:$B,"平均")</f>
        <v>87.786259541984734</v>
      </c>
      <c r="G13" s="58">
        <f>SUMIFS('0615 4度C'!$K:$K,'0615 4度C'!$A:$A,"新豐7線",'0615 4度C'!$B:$B,"平均")</f>
        <v>125</v>
      </c>
      <c r="H13" s="58">
        <f>SUMIFS('0615 4度C'!$K:$K,'0615 4度C'!$A:$A,"新豐3線",'0615 4度C'!$B:$B,"平均")</f>
        <v>255.81395348837211</v>
      </c>
      <c r="I13" s="58">
        <f>SUMIFS('0615 4度C'!$K:$K,'0615 4度C'!$A:$A,"新豐1線",'0615 4度C'!$B:$B,"平均")</f>
        <v>123.07692307692308</v>
      </c>
      <c r="J13" s="59">
        <f>SUMIFS('0615 4度C'!$K:$K,'0615 4度C'!$A:$A,"新豐10線",'0615 4度C'!$B:$B,"平均")</f>
        <v>319.14893617021278</v>
      </c>
      <c r="K13" s="60">
        <f>SUMIFS('0615 4度C'!$K:$K,'0615 4度C'!$A:$A,"新豐8線",'0615 4度C'!$B:$B,"平均")</f>
        <v>137.14285714285714</v>
      </c>
      <c r="L13" s="61">
        <f>SUMIFS('0615 4度C'!$K:$K,'0615 4度C'!$A:$A,"新豐9線",'0615 4度C'!$B:$B,"平均")</f>
        <v>124.822695035461</v>
      </c>
      <c r="M13" s="59">
        <f>SUMIFS('0615 4度C'!$K:$K,'0615 4度C'!$A:$A,"新豐4線",'0615 4度C'!$B:$B,"平均")</f>
        <v>154.12844036697248</v>
      </c>
    </row>
    <row r="14" spans="2:17" ht="39.6" customHeight="1">
      <c r="B14" s="570"/>
      <c r="C14" s="62" t="s">
        <v>1384</v>
      </c>
      <c r="D14" s="63">
        <f>SUMIFS('0615 4度C'!$N:$N,'0615 4度C'!$A:$A,"新豐6線",'0615 4度C'!$B:$B,"平均")</f>
        <v>123.98101698561096</v>
      </c>
      <c r="E14" s="64">
        <f>SUMIFS('0615 4度C'!$N:$N,'0615 4度C'!$A:$A,"新豐2線",'0615 4度C'!$B:$B,"平均")</f>
        <v>82.951055064537229</v>
      </c>
      <c r="F14" s="64">
        <f>SUMIFS('0615 4度C'!$N:$N,'0615 4度C'!$A:$A,"新豐5線",'0615 4度C'!$B:$B,"平均")</f>
        <v>84.242935806148651</v>
      </c>
      <c r="G14" s="64">
        <f>SUMIFS('0615 4度C'!$N:$N,'0615 4度C'!$A:$A,"新豐7線",'0615 4度C'!$B:$B,"平均")</f>
        <v>119.9462865246511</v>
      </c>
      <c r="H14" s="64">
        <f>SUMIFS('0615 4度C'!$N:$N,'0615 4度C'!$A:$A,"新豐3線",'0615 4度C'!$B:$B,"平均")</f>
        <v>244.05906021960035</v>
      </c>
      <c r="I14" s="64">
        <f>SUMIFS('0615 4度C'!$N:$N,'0615 4度C'!$A:$A,"新豐1線",'0615 4度C'!$B:$B,"平均")</f>
        <v>117.89224262621954</v>
      </c>
      <c r="J14" s="65">
        <f>SUMIFS('0615 4度C'!$N:$N,'0615 4度C'!$A:$A,"新豐10線",'0615 4度C'!$B:$B,"平均")</f>
        <v>307.07382203462828</v>
      </c>
      <c r="K14" s="66">
        <f>SUMIFS('0615 4度C'!$N:$N,'0615 4度C'!$A:$A,"新豐8線",'0615 4度C'!$B:$B,"平均")</f>
        <v>131.06552124796599</v>
      </c>
      <c r="L14" s="67">
        <f>SUMIFS('0615 4度C'!$N:$N,'0615 4度C'!$A:$A,"新豐9線",'0615 4度C'!$B:$B,"平均")</f>
        <v>119.3192705390147</v>
      </c>
      <c r="M14" s="65">
        <f>SUMIFS('0615 4度C'!$N:$N,'0615 4度C'!$A:$A,"新豐4線",'0615 4度C'!$B:$B,"平均")</f>
        <v>147.3000763312655</v>
      </c>
    </row>
    <row r="15" spans="2:17" ht="40.15" customHeight="1">
      <c r="B15" s="571"/>
      <c r="C15" s="68" t="s">
        <v>1385</v>
      </c>
      <c r="D15" s="69">
        <f t="shared" ref="D15:M15" si="0">D14/D13</f>
        <v>0.96085288163848492</v>
      </c>
      <c r="E15" s="70">
        <f t="shared" si="0"/>
        <v>0.9539371332421781</v>
      </c>
      <c r="F15" s="70">
        <f t="shared" si="0"/>
        <v>0.95963692092221509</v>
      </c>
      <c r="G15" s="70">
        <f t="shared" si="0"/>
        <v>0.9595702921972088</v>
      </c>
      <c r="H15" s="70">
        <f t="shared" si="0"/>
        <v>0.95404905358571046</v>
      </c>
      <c r="I15" s="70">
        <f t="shared" si="0"/>
        <v>0.95787447133803372</v>
      </c>
      <c r="J15" s="71">
        <f t="shared" si="0"/>
        <v>0.96216464237516852</v>
      </c>
      <c r="K15" s="69">
        <f t="shared" si="0"/>
        <v>0.95568609243308533</v>
      </c>
      <c r="L15" s="70">
        <f t="shared" si="0"/>
        <v>0.95591006511369725</v>
      </c>
      <c r="M15" s="71">
        <f t="shared" si="0"/>
        <v>0.95569692381594873</v>
      </c>
    </row>
    <row r="16" spans="2:17" ht="17.25" customHeight="1">
      <c r="B16" s="572" t="s">
        <v>1386</v>
      </c>
      <c r="C16" s="72" t="s">
        <v>1387</v>
      </c>
      <c r="D16" s="73">
        <f>VLOOKUP("新豐6線",'0615 4度C'!$A:$T,19,0)</f>
        <v>0.70833333333333337</v>
      </c>
      <c r="E16" s="74">
        <f>VLOOKUP("新豐2線",'0615 4度C'!$A:$T,19,0)</f>
        <v>8.3333333333333329E-2</v>
      </c>
      <c r="F16" s="74">
        <f>VLOOKUP("新豐5線",'0615 4度C'!$A:$T,19,0)</f>
        <v>8.3333333333333329E-2</v>
      </c>
      <c r="G16" s="74">
        <f>VLOOKUP("新豐7線",'0615 4度C'!$A:$T,19,0)</f>
        <v>0.20833333333333334</v>
      </c>
      <c r="H16" s="74">
        <f>VLOOKUP("新豐3線",'0615 4度C'!$A:$T,19,0)</f>
        <v>8.3333333333333329E-2</v>
      </c>
      <c r="I16" s="74">
        <f>VLOOKUP("新豐1線",'0615 4度C'!$A:$T,19,0)</f>
        <v>0.16666666666666666</v>
      </c>
      <c r="J16" s="75">
        <f>VLOOKUP("新豐10線",'0615 4度C'!$A:$T,19,0)</f>
        <v>0.20833333333333334</v>
      </c>
      <c r="K16" s="76">
        <f>VLOOKUP("新豐8線",'0615 4度C'!$A:$T,19,0)</f>
        <v>8.3333333333333329E-2</v>
      </c>
      <c r="L16" s="77">
        <f>VLOOKUP("新豐9線",'0615 4度C'!$A:$T,19,0)</f>
        <v>8.3333333333333329E-2</v>
      </c>
      <c r="M16" s="78">
        <f>VLOOKUP("新豐4線",'0615 4度C'!$A:$T,19,0)</f>
        <v>8.3333333333333329E-2</v>
      </c>
    </row>
    <row r="17" spans="2:13" ht="17.25" customHeight="1">
      <c r="B17" s="573"/>
      <c r="C17" s="72" t="s">
        <v>1388</v>
      </c>
      <c r="D17" s="76">
        <f>LOOKUP(2,1/(('0615 4度C'!$A:$A="新豐6線")*('0615 4度C'!$T:$T&lt;&gt;"")),'0615 4度C'!$T:$T)</f>
        <v>0.90069444444444446</v>
      </c>
      <c r="E17" s="74">
        <f>LOOKUP(2,1/(('0615 4度C'!$A:$A="新豐2線")*('0615 4度C'!$T:$T&lt;&gt;"")),'0615 4度C'!$T:$T)</f>
        <v>0.67152777777777772</v>
      </c>
      <c r="F17" s="74">
        <f>LOOKUP(2,1/(('0615 4度C'!$A:$A="新豐5線")*('0615 4度C'!$T:$T&lt;&gt;"")),'0615 4度C'!$T:$T)</f>
        <v>0.82013888888888886</v>
      </c>
      <c r="G17" s="74">
        <f>LOOKUP(2,1/(('0615 4度C'!$A:$A="新豐7線")*('0615 4度C'!$T:$T&lt;&gt;"")),'0615 4度C'!$T:$T)</f>
        <v>0.83611111111111103</v>
      </c>
      <c r="H17" s="74">
        <f>LOOKUP(2,1/(('0615 4度C'!$A:$A="新豐3線")*('0615 4度C'!$T:$T&lt;&gt;"")),'0615 4度C'!$T:$T)</f>
        <v>0.42152777777777778</v>
      </c>
      <c r="I17" s="74">
        <f>LOOKUP(2,1/(('0615 4度C'!$A:$A="新豐1線")*('0615 4度C'!$T:$T&lt;&gt;"")),'0615 4度C'!$T:$T)</f>
        <v>0.89722222222222225</v>
      </c>
      <c r="J17" s="75">
        <f>LOOKUP(2,1/(('0615 4度C'!$A:$A="新豐10線")*('0615 4度C'!$T:$T&lt;&gt;"")),'0615 4度C'!$T:$T)</f>
        <v>0.42083333333333328</v>
      </c>
      <c r="K17" s="73">
        <f>LOOKUP(2,1/(('0615 4度C'!$A:$A="新豐8線")*('0615 4度C'!$T:$T&lt;&gt;"")),'0615 4度C'!$T:$T)</f>
        <v>0.7583333333333333</v>
      </c>
      <c r="L17" s="74">
        <f>LOOKUP(2,1/(('0615 4度C'!$A:$A="新豐9線")*('0615 4度C'!$T:$T&lt;&gt;"")),'0615 4度C'!$T:$T)</f>
        <v>0.74444444444444446</v>
      </c>
      <c r="M17" s="75">
        <f>LOOKUP(2,1/(('0615 4度C'!$A:$A="新豐4線")*('0615 4度C'!$T:$T&lt;&gt;"")),'0615 4度C'!$T:$T)</f>
        <v>0.6958333333333333</v>
      </c>
    </row>
    <row r="18" spans="2:13" ht="17.25" customHeight="1">
      <c r="B18" s="551" t="s">
        <v>1389</v>
      </c>
      <c r="C18" s="79" t="s">
        <v>1390</v>
      </c>
      <c r="D18" s="80">
        <f>SUMIFS('0615 4度C'!$Y:$Y,'0615 4度C'!$A:$A,"新豐6線",'0615 4度C'!$B:$B,"平均")</f>
        <v>0</v>
      </c>
      <c r="E18" s="81">
        <f>SUMIFS('0615 4度C'!$Y:$Y,'0615 4度C'!$A:$A,"新豐2線",'0615 4度C'!$B:$B,"平均")</f>
        <v>0</v>
      </c>
      <c r="F18" s="81">
        <f>SUMIFS('0615 4度C'!$Y:$Y,'0615 4度C'!$A:$A,"新豐5線",'0615 4度C'!$B:$B,"平均")</f>
        <v>0</v>
      </c>
      <c r="G18" s="81">
        <f>SUMIFS('0615 4度C'!$Y:$Y,'0615 4度C'!$A:$A,"新豐7線",'0615 4度C'!$B:$B,"平均")</f>
        <v>0</v>
      </c>
      <c r="H18" s="81">
        <f>SUMIFS('0615 4度C'!$Y:$Y,'0615 4度C'!$A:$A,"新豐3線",'0615 4度C'!$B:$B,"平均")</f>
        <v>0</v>
      </c>
      <c r="I18" s="81">
        <f>SUMIFS('0615 4度C'!$Y:$Y,'0615 4度C'!$A:$A,"新豐1線",'0615 4度C'!$B:$B,"平均")</f>
        <v>0</v>
      </c>
      <c r="J18" s="82">
        <f>SUMIFS('0615 4度C'!$Y:$Y,'0615 4度C'!$A:$A,"新豐10線",'0615 4度C'!$B:$B,"平均")</f>
        <v>0</v>
      </c>
      <c r="K18" s="83">
        <f>SUMIFS('0615 4度C'!$Y:$Y,'0615 4度C'!$A:$A,"新豐8線",'0615 4度C'!$B:$B,"平均")</f>
        <v>0</v>
      </c>
      <c r="L18" s="81">
        <f>SUMIFS('0615 4度C'!$Y:$Y,'0615 4度C'!$A:$A,"新豐9線",'0615 4度C'!$B:$B,"平均")</f>
        <v>0</v>
      </c>
      <c r="M18" s="82">
        <f>SUMIFS('0615 4度C'!$Y:$Y,'0615 4度C'!$A:$A,"新豐4線",'0615 4度C'!$B:$B,"平均")</f>
        <v>0</v>
      </c>
    </row>
    <row r="19" spans="2:13" ht="17.25" customHeight="1">
      <c r="B19" s="552"/>
      <c r="C19" s="79" t="s">
        <v>1391</v>
      </c>
      <c r="D19" s="80">
        <f>SUMIFS('0615 4度C'!$Z:$Z,'0615 4度C'!$A:$A,"新豐6線",'0615 4度C'!$B:$B,"平均")</f>
        <v>0</v>
      </c>
      <c r="E19" s="81">
        <f>SUMIFS('0615 4度C'!$Z:$Z,'0615 4度C'!$A:$A,"新豐2線",'0615 4度C'!$B:$B,"平均")</f>
        <v>0</v>
      </c>
      <c r="F19" s="81">
        <f>SUMIFS('0615 4度C'!$Z:$Z,'0615 4度C'!$A:$A,"新豐5線",'0615 4度C'!$B:$B,"平均")</f>
        <v>0</v>
      </c>
      <c r="G19" s="81">
        <f>SUMIFS('0615 4度C'!$Z:$Z,'0615 4度C'!$A:$A,"新豐7線",'0615 4度C'!$B:$B,"平均")</f>
        <v>0</v>
      </c>
      <c r="H19" s="81">
        <f>SUMIFS('0615 4度C'!$Z:$Z,'0615 4度C'!$A:$A,"新豐3線",'0615 4度C'!$B:$B,"平均")</f>
        <v>0</v>
      </c>
      <c r="I19" s="81">
        <f>SUMIFS('0615 4度C'!$Z:$Z,'0615 4度C'!$A:$A,"新豐1線",'0615 4度C'!$B:$B,"平均")</f>
        <v>0</v>
      </c>
      <c r="J19" s="82">
        <f>SUMIFS('0615 4度C'!$Z:$Z,'0615 4度C'!$A:$A,"新豐10線",'0615 4度C'!$B:$B,"平均")</f>
        <v>0</v>
      </c>
      <c r="K19" s="83">
        <f>SUMIFS('0615 4度C'!$Z:$Z,'0615 4度C'!$A:$A,"新豐8線",'0615 4度C'!$B:$B,"平均")</f>
        <v>0</v>
      </c>
      <c r="L19" s="81">
        <f>SUMIFS('0615 4度C'!$Z:$Z,'0615 4度C'!$A:$A,"新豐9線",'0615 4度C'!$B:$B,"平均")</f>
        <v>0</v>
      </c>
      <c r="M19" s="82">
        <f>SUMIFS('0615 4度C'!$Z:$Z,'0615 4度C'!$A:$A,"新豐4線",'0615 4度C'!$B:$B,"平均")</f>
        <v>0</v>
      </c>
    </row>
    <row r="20" spans="2:13" ht="17.25" customHeight="1">
      <c r="B20" s="551" t="s">
        <v>1392</v>
      </c>
      <c r="C20" s="79" t="s">
        <v>1390</v>
      </c>
      <c r="D20" s="80">
        <f>SUMIFS('0615 4度C'!$AC:$AC,'0615 4度C'!$A:$A,"新豐6線",'0615 4度C'!$B:$B,"平均")</f>
        <v>4</v>
      </c>
      <c r="E20" s="81">
        <f>SUMIFS('0615 4度C'!$AC:$AC,'0615 4度C'!$A:$A,"新豐2線",'0615 4度C'!$B:$B,"平均")</f>
        <v>4</v>
      </c>
      <c r="F20" s="81">
        <f>SUMIFS('0615 4度C'!$AC:$AC,'0615 4度C'!$A:$A,"新豐5線",'0615 4度C'!$B:$B,"平均")</f>
        <v>7</v>
      </c>
      <c r="G20" s="81">
        <f>SUMIFS('0615 4度C'!$AC:$AC,'0615 4度C'!$A:$A,"新豐7線",'0615 4度C'!$B:$B,"平均")</f>
        <v>6</v>
      </c>
      <c r="H20" s="81">
        <f>SUMIFS('0615 4度C'!$AC:$AC,'0615 4度C'!$A:$A,"新豐3線",'0615 4度C'!$B:$B,"平均")</f>
        <v>4</v>
      </c>
      <c r="I20" s="81">
        <f>SUMIFS('0615 4度C'!$AC:$AC,'0615 4度C'!$A:$A,"新豐1線",'0615 4度C'!$B:$B,"平均")</f>
        <v>8</v>
      </c>
      <c r="J20" s="82">
        <f>SUMIFS('0615 4度C'!$AC:$AC,'0615 4度C'!$A:$A,"新豐10線",'0615 4度C'!$B:$B,"平均")</f>
        <v>5</v>
      </c>
      <c r="K20" s="83">
        <f>SUMIFS('0615 4度C'!$AC:$AC,'0615 4度C'!$A:$A,"新豐8線",'0615 4度C'!$B:$B,"平均")</f>
        <v>8</v>
      </c>
      <c r="L20" s="81">
        <f>SUMIFS('0615 4度C'!$AC:$AC,'0615 4度C'!$A:$A,"新豐9線",'0615 4度C'!$B:$B,"平均")</f>
        <v>8</v>
      </c>
      <c r="M20" s="82">
        <f>SUMIFS('0615 4度C'!$AC:$AC,'0615 4度C'!$A:$A,"新豐4線",'0615 4度C'!$B:$B,"平均")</f>
        <v>7</v>
      </c>
    </row>
    <row r="21" spans="2:13" ht="17.25" customHeight="1">
      <c r="B21" s="552"/>
      <c r="C21" s="79" t="s">
        <v>1393</v>
      </c>
      <c r="D21" s="80">
        <f>SUMIFS('0615 4度C'!$AD:$AD,'0615 4度C'!$A:$A,"新豐6線",'0615 4度C'!$B:$B,"平均")</f>
        <v>0</v>
      </c>
      <c r="E21" s="81">
        <f>SUMIFS('0615 4度C'!$AD:$AD,'0615 4度C'!$A:$A,"新豐2線",'0615 4度C'!$B:$B,"平均")</f>
        <v>0</v>
      </c>
      <c r="F21" s="81">
        <f>SUMIFS('0615 4度C'!$AD:$AD,'0615 4度C'!$A:$A,"新豐5線",'0615 4度C'!$B:$B,"平均")</f>
        <v>0</v>
      </c>
      <c r="G21" s="81">
        <f>SUMIFS('0615 4度C'!$AD:$AD,'0615 4度C'!$A:$A,"新豐7線",'0615 4度C'!$B:$B,"平均")</f>
        <v>0</v>
      </c>
      <c r="H21" s="81">
        <f>SUMIFS('0615 4度C'!$AD:$AD,'0615 4度C'!$A:$A,"新豐3線",'0615 4度C'!$B:$B,"平均")</f>
        <v>0</v>
      </c>
      <c r="I21" s="81">
        <f>SUMIFS('0615 4度C'!$AD:$AD,'0615 4度C'!$A:$A,"新豐1線",'0615 4度C'!$B:$B,"平均")</f>
        <v>0</v>
      </c>
      <c r="J21" s="82">
        <f>SUMIFS('0615 4度C'!$AD:$AD,'0615 4度C'!$A:$A,"新豐10線",'0615 4度C'!$B:$B,"平均")</f>
        <v>0</v>
      </c>
      <c r="K21" s="83">
        <f>SUMIFS('0615 4度C'!$AD:$AD,'0615 4度C'!$A:$A,"新豐8線",'0615 4度C'!$B:$B,"平均")</f>
        <v>0</v>
      </c>
      <c r="L21" s="81">
        <f>SUMIFS('0615 4度C'!$AD:$AD,'0615 4度C'!$A:$A,"新豐9線",'0615 4度C'!$B:$B,"平均")</f>
        <v>0</v>
      </c>
      <c r="M21" s="82">
        <f>SUMIFS('0615 4度C'!$AD:$AD,'0615 4度C'!$A:$A,"新豐4線",'0615 4度C'!$B:$B,"平均")</f>
        <v>0</v>
      </c>
    </row>
    <row r="22" spans="2:13" ht="17.25" customHeight="1">
      <c r="B22" s="553" t="s">
        <v>1394</v>
      </c>
      <c r="C22" s="554"/>
      <c r="D22" s="84">
        <f>SUMIFS('0615 4度C'!$I:$I,'0615 4度C'!$A:$A,"新豐6線",'0615 4度C'!$B:$B,"平均")</f>
        <v>15.5</v>
      </c>
      <c r="E22" s="85">
        <f>SUMIFS('0615 4度C'!$I:$I,'0615 4度C'!$A:$A,"新豐2線",'0615 4度C'!$B:$B,"平均")</f>
        <v>17.25</v>
      </c>
      <c r="F22" s="85">
        <f>SUMIFS('0615 4度C'!$I:$I,'0615 4度C'!$A:$A,"新豐5線",'0615 4度C'!$B:$B,"平均")</f>
        <v>18.714285714285715</v>
      </c>
      <c r="G22" s="85">
        <f>SUMIFS('0615 4度C'!$I:$I,'0615 4度C'!$A:$A,"新豐7線",'0615 4度C'!$B:$B,"平均")</f>
        <v>15.333333333333334</v>
      </c>
      <c r="H22" s="85">
        <f>SUMIFS('0615 4度C'!$I:$I,'0615 4度C'!$A:$A,"新豐3線",'0615 4度C'!$B:$B,"平均")</f>
        <v>10.75</v>
      </c>
      <c r="I22" s="85">
        <f>SUMIFS('0615 4度C'!$I:$I,'0615 4度C'!$A:$A,"新豐1線",'0615 4度C'!$B:$B,"平均")</f>
        <v>16.25</v>
      </c>
      <c r="J22" s="86">
        <f>SUMIFS('0615 4度C'!$I:$I,'0615 4度C'!$A:$A,"新豐10線",'0615 4度C'!$B:$B,"平均")</f>
        <v>9.4</v>
      </c>
      <c r="K22" s="84">
        <f>SUMIFS('0615 4度C'!$I:$I,'0615 4度C'!$A:$A,"新豐8線",'0615 4度C'!$B:$B,"平均")</f>
        <v>17.5</v>
      </c>
      <c r="L22" s="85">
        <f>SUMIFS('0615 4度C'!$I:$I,'0615 4度C'!$A:$A,"新豐9線",'0615 4度C'!$B:$B,"平均")</f>
        <v>17.625</v>
      </c>
      <c r="M22" s="86">
        <f>SUMIFS('0615 4度C'!$I:$I,'0615 4度C'!$A:$A,"新豐4線",'0615 4度C'!$B:$B,"平均")</f>
        <v>15.571428571428571</v>
      </c>
    </row>
    <row r="23" spans="2:13" ht="17.25" customHeight="1">
      <c r="B23" s="553" t="s">
        <v>1395</v>
      </c>
      <c r="C23" s="554"/>
      <c r="D23" s="87" t="s">
        <v>71</v>
      </c>
      <c r="E23" s="88" t="s">
        <v>72</v>
      </c>
      <c r="F23" s="88" t="s">
        <v>1396</v>
      </c>
      <c r="G23" s="88" t="s">
        <v>1397</v>
      </c>
      <c r="H23" s="88" t="s">
        <v>73</v>
      </c>
      <c r="I23" s="88" t="s">
        <v>71</v>
      </c>
      <c r="J23" s="89" t="s">
        <v>73</v>
      </c>
      <c r="K23" s="87" t="s">
        <v>1398</v>
      </c>
      <c r="L23" s="88" t="s">
        <v>1398</v>
      </c>
      <c r="M23" s="89" t="s">
        <v>1398</v>
      </c>
    </row>
    <row r="24" spans="2:13" ht="17.25" customHeight="1">
      <c r="B24" s="553" t="s">
        <v>1399</v>
      </c>
      <c r="C24" s="554"/>
      <c r="D24" s="87"/>
      <c r="E24" s="88"/>
      <c r="F24" s="88" t="s">
        <v>1400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1401</v>
      </c>
      <c r="C25" s="556"/>
      <c r="D25" s="90"/>
      <c r="E25" s="91" t="s">
        <v>1402</v>
      </c>
      <c r="F25" s="549" t="s">
        <v>1403</v>
      </c>
      <c r="G25" s="550"/>
      <c r="H25" s="91" t="s">
        <v>1404</v>
      </c>
      <c r="I25" s="91" t="s">
        <v>1405</v>
      </c>
      <c r="J25" s="92" t="s">
        <v>1404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9" activePane="bottomLeft" state="frozen"/>
      <selection sqref="A1:XFD1048576"/>
      <selection pane="bottomLeft" activeCell="W72" sqref="W7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226</v>
      </c>
      <c r="B1" s="1"/>
      <c r="C1" s="2" t="s">
        <v>227</v>
      </c>
      <c r="D1" s="3">
        <f>SUM(F5:F75)</f>
        <v>200882</v>
      </c>
      <c r="E1" s="309" t="s">
        <v>1406</v>
      </c>
      <c r="F1" s="1">
        <f>SUM(G5:G75)</f>
        <v>6903691.6300000008</v>
      </c>
      <c r="G1" s="1" t="s">
        <v>1407</v>
      </c>
      <c r="H1" s="4">
        <f>L9+L14+L52+L61+L22+L67+L38+L47+L29+L75</f>
        <v>153.89404761904765</v>
      </c>
      <c r="I1" s="663" t="s">
        <v>1408</v>
      </c>
      <c r="J1" s="663"/>
      <c r="K1" s="663"/>
      <c r="L1" s="663" t="s">
        <v>137</v>
      </c>
      <c r="M1" s="663"/>
      <c r="N1" s="663"/>
      <c r="O1" s="663" t="s">
        <v>138</v>
      </c>
      <c r="P1" s="663"/>
      <c r="Q1" s="663"/>
      <c r="R1" s="663"/>
      <c r="S1" s="663" t="s">
        <v>139</v>
      </c>
      <c r="T1" s="663"/>
      <c r="U1" s="663"/>
      <c r="V1" s="663"/>
      <c r="W1" s="663"/>
      <c r="X1" s="663"/>
      <c r="Y1" s="5" t="s">
        <v>140</v>
      </c>
      <c r="Z1" s="6" t="s">
        <v>141</v>
      </c>
      <c r="AA1" s="664" t="s">
        <v>142</v>
      </c>
      <c r="AB1" s="664"/>
      <c r="AC1" s="94" t="s">
        <v>140</v>
      </c>
      <c r="AD1" s="6" t="s">
        <v>143</v>
      </c>
      <c r="AE1" s="663" t="s">
        <v>144</v>
      </c>
      <c r="AF1" s="665"/>
      <c r="AG1" s="665"/>
    </row>
    <row r="2" spans="1:33" ht="26.25" customHeight="1">
      <c r="A2" s="27">
        <v>46188</v>
      </c>
      <c r="B2" s="28" t="s">
        <v>75</v>
      </c>
      <c r="C2" s="2" t="s">
        <v>109</v>
      </c>
      <c r="D2" s="8">
        <f>AVERAGE(N9,N14,N52,N61,N22,N67,N29,N38,N47,N75)</f>
        <v>147.78312873796423</v>
      </c>
      <c r="E2" s="9" t="s">
        <v>0</v>
      </c>
      <c r="F2" s="10">
        <f>F1/D1</f>
        <v>34.366900120468735</v>
      </c>
      <c r="G2" s="1" t="s">
        <v>240</v>
      </c>
      <c r="H2" s="321">
        <f>COUNT(H5:H75)</f>
        <v>11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SUM(Y9+Y14+Y22+Y29+Y38+Y47+Y52+Y61+Y67+Y75)</f>
        <v>0</v>
      </c>
      <c r="Z2" s="11">
        <f>SUM(Z9+Z14+Z22+Z29+Z38+Z47+Z52+Z61+Z67+Z75)</f>
        <v>0</v>
      </c>
      <c r="AA2" s="664"/>
      <c r="AB2" s="664"/>
      <c r="AC2" s="95">
        <v>61</v>
      </c>
      <c r="AD2" s="11">
        <f>SUM(AD9+AD14+AD22+AD29+AD38+AD47+AD52+AD61+AD67+AD75)</f>
        <v>0</v>
      </c>
      <c r="AE2" s="665"/>
      <c r="AF2" s="665"/>
      <c r="AG2" s="665"/>
    </row>
    <row r="3" spans="1:33" ht="40.5" customHeight="1">
      <c r="A3" s="617" t="s">
        <v>1409</v>
      </c>
      <c r="B3" s="617" t="s">
        <v>242</v>
      </c>
      <c r="C3" s="617" t="s">
        <v>149</v>
      </c>
      <c r="D3" s="617"/>
      <c r="E3" s="661" t="s">
        <v>150</v>
      </c>
      <c r="F3" s="617" t="s">
        <v>151</v>
      </c>
      <c r="G3" s="661" t="s">
        <v>152</v>
      </c>
      <c r="H3" s="654" t="s">
        <v>247</v>
      </c>
      <c r="I3" s="652" t="s">
        <v>154</v>
      </c>
      <c r="J3" s="649" t="s">
        <v>155</v>
      </c>
      <c r="K3" s="659" t="s">
        <v>109</v>
      </c>
      <c r="L3" s="652" t="s">
        <v>154</v>
      </c>
      <c r="M3" s="649" t="s">
        <v>155</v>
      </c>
      <c r="N3" s="659" t="s">
        <v>109</v>
      </c>
      <c r="O3" s="652" t="s">
        <v>154</v>
      </c>
      <c r="P3" s="659" t="s">
        <v>109</v>
      </c>
      <c r="Q3" s="650" t="s">
        <v>156</v>
      </c>
      <c r="R3" s="630" t="s">
        <v>157</v>
      </c>
      <c r="S3" s="660" t="s">
        <v>1</v>
      </c>
      <c r="T3" s="660"/>
      <c r="U3" s="654" t="s">
        <v>2</v>
      </c>
      <c r="V3" s="654" t="s">
        <v>253</v>
      </c>
      <c r="W3" s="617" t="s">
        <v>159</v>
      </c>
      <c r="X3" s="617"/>
      <c r="Y3" s="655" t="s">
        <v>1410</v>
      </c>
      <c r="Z3" s="614"/>
      <c r="AA3" s="656" t="s">
        <v>1411</v>
      </c>
      <c r="AB3" s="657"/>
      <c r="AC3" s="655" t="s">
        <v>1412</v>
      </c>
      <c r="AD3" s="614"/>
      <c r="AE3" s="649" t="s">
        <v>155</v>
      </c>
      <c r="AF3" s="650" t="s">
        <v>156</v>
      </c>
      <c r="AG3" s="630" t="s">
        <v>1413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320" t="s">
        <v>3</v>
      </c>
      <c r="T4" s="320" t="s">
        <v>4</v>
      </c>
      <c r="U4" s="654"/>
      <c r="V4" s="654"/>
      <c r="W4" s="309" t="s">
        <v>1414</v>
      </c>
      <c r="X4" s="309" t="s">
        <v>1415</v>
      </c>
      <c r="Y4" s="311" t="s">
        <v>117</v>
      </c>
      <c r="Z4" s="311" t="s">
        <v>118</v>
      </c>
      <c r="AA4" s="658"/>
      <c r="AB4" s="657"/>
      <c r="AC4" s="311" t="s">
        <v>170</v>
      </c>
      <c r="AD4" s="311" t="s">
        <v>171</v>
      </c>
      <c r="AE4" s="649"/>
      <c r="AF4" s="650"/>
      <c r="AG4" s="630"/>
    </row>
    <row r="5" spans="1:33">
      <c r="A5" s="651" t="s">
        <v>173</v>
      </c>
      <c r="B5" s="29" t="s">
        <v>15</v>
      </c>
      <c r="C5" s="653" t="s">
        <v>17</v>
      </c>
      <c r="D5" s="653"/>
      <c r="E5" s="29">
        <v>50.67</v>
      </c>
      <c r="F5" s="320">
        <v>1624</v>
      </c>
      <c r="G5" s="309">
        <f t="shared" ref="G5:G8" si="0">E5*F5</f>
        <v>82288.08</v>
      </c>
      <c r="H5" s="33" t="s">
        <v>57</v>
      </c>
      <c r="I5" s="318">
        <v>15</v>
      </c>
      <c r="J5" s="31">
        <v>2000</v>
      </c>
      <c r="K5" s="12">
        <f t="shared" ref="K5:K68" si="1">J5/I5</f>
        <v>133.33333333333334</v>
      </c>
      <c r="L5" s="318">
        <v>15</v>
      </c>
      <c r="M5" s="13">
        <f t="shared" ref="M5:M8" si="2">F5/V5*60</f>
        <v>1910.5882352941185</v>
      </c>
      <c r="N5" s="12">
        <f t="shared" ref="N5:N68" si="3">M5/L5</f>
        <v>127.3725490196079</v>
      </c>
      <c r="O5" s="14">
        <f t="shared" ref="O5:O68" si="4">L5-I5</f>
        <v>0</v>
      </c>
      <c r="P5" s="15">
        <f t="shared" ref="P5:P68" si="5">N5-K5</f>
        <v>-5.9607843137254406</v>
      </c>
      <c r="Q5" s="312">
        <f t="shared" ref="Q5:Q68" si="6">N5/K5</f>
        <v>0.95529411764705918</v>
      </c>
      <c r="R5" s="615">
        <f>Q9</f>
        <v>0.96085288163848492</v>
      </c>
      <c r="S5" s="34">
        <v>0.70833333333333337</v>
      </c>
      <c r="T5" s="34">
        <v>0.74375000000000002</v>
      </c>
      <c r="U5" s="309"/>
      <c r="V5" s="319">
        <f t="shared" ref="V5:V8" si="7">(T5-S5)*24*60</f>
        <v>50.999999999999979</v>
      </c>
      <c r="W5" s="16"/>
      <c r="X5" s="17"/>
      <c r="Y5" s="17"/>
      <c r="Z5" s="17"/>
      <c r="AA5" s="617"/>
      <c r="AB5" s="617"/>
      <c r="AC5" s="35">
        <v>4</v>
      </c>
      <c r="AD5" s="18"/>
      <c r="AE5" s="14">
        <f t="shared" ref="AE5:AE60" si="8">M5-J5</f>
        <v>-89.411764705881524</v>
      </c>
      <c r="AF5" s="312">
        <f t="shared" ref="AF5:AF68" si="9">M5/J5</f>
        <v>0.95529411764705929</v>
      </c>
      <c r="AG5" s="615">
        <f>AF9</f>
        <v>0.96085288163848492</v>
      </c>
    </row>
    <row r="6" spans="1:33">
      <c r="A6" s="652" t="s">
        <v>173</v>
      </c>
      <c r="B6" s="29" t="s">
        <v>15</v>
      </c>
      <c r="C6" s="653" t="s">
        <v>26</v>
      </c>
      <c r="D6" s="653"/>
      <c r="E6" s="29">
        <v>50.92</v>
      </c>
      <c r="F6" s="320">
        <v>2436</v>
      </c>
      <c r="G6" s="309">
        <f t="shared" si="0"/>
        <v>124041.12000000001</v>
      </c>
      <c r="H6" s="33" t="s">
        <v>57</v>
      </c>
      <c r="I6" s="318">
        <v>15</v>
      </c>
      <c r="J6" s="31">
        <v>2000</v>
      </c>
      <c r="K6" s="12">
        <f t="shared" si="1"/>
        <v>133.33333333333334</v>
      </c>
      <c r="L6" s="318">
        <v>15</v>
      </c>
      <c r="M6" s="13">
        <f t="shared" si="2"/>
        <v>1923.1578947368405</v>
      </c>
      <c r="N6" s="12">
        <f t="shared" si="3"/>
        <v>128.21052631578937</v>
      </c>
      <c r="O6" s="14">
        <f t="shared" si="4"/>
        <v>0</v>
      </c>
      <c r="P6" s="15">
        <f t="shared" si="5"/>
        <v>-5.1228070175439768</v>
      </c>
      <c r="Q6" s="312">
        <f t="shared" si="6"/>
        <v>0.9615789473684202</v>
      </c>
      <c r="R6" s="615"/>
      <c r="S6" s="34">
        <v>0.74791666666666667</v>
      </c>
      <c r="T6" s="34">
        <v>0.80069444444444449</v>
      </c>
      <c r="U6" s="309">
        <f t="shared" ref="U6:U8" si="10">IF(S6=TIME(17,0,0),"",(S6-T5)*24*60)</f>
        <v>5.9999999999999787</v>
      </c>
      <c r="V6" s="319">
        <f t="shared" si="7"/>
        <v>76.000000000000057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-76.84210526315951</v>
      </c>
      <c r="AF6" s="312">
        <f t="shared" si="9"/>
        <v>0.9615789473684202</v>
      </c>
      <c r="AG6" s="615"/>
    </row>
    <row r="7" spans="1:33">
      <c r="A7" s="652" t="s">
        <v>173</v>
      </c>
      <c r="B7" s="29" t="s">
        <v>15</v>
      </c>
      <c r="C7" s="644" t="s">
        <v>31</v>
      </c>
      <c r="D7" s="645"/>
      <c r="E7" s="29">
        <v>50.98</v>
      </c>
      <c r="F7" s="320">
        <v>1300</v>
      </c>
      <c r="G7" s="309">
        <f t="shared" si="0"/>
        <v>66274</v>
      </c>
      <c r="H7" s="33">
        <v>2</v>
      </c>
      <c r="I7" s="318">
        <v>16</v>
      </c>
      <c r="J7" s="31">
        <v>2000</v>
      </c>
      <c r="K7" s="12">
        <f t="shared" si="1"/>
        <v>125</v>
      </c>
      <c r="L7" s="318">
        <v>16</v>
      </c>
      <c r="M7" s="13">
        <f t="shared" si="2"/>
        <v>1949.9999999999991</v>
      </c>
      <c r="N7" s="12">
        <f t="shared" si="3"/>
        <v>121.87499999999994</v>
      </c>
      <c r="O7" s="14">
        <f t="shared" si="4"/>
        <v>0</v>
      </c>
      <c r="P7" s="15">
        <f t="shared" si="5"/>
        <v>-3.1250000000000568</v>
      </c>
      <c r="Q7" s="312">
        <f t="shared" si="6"/>
        <v>0.97499999999999953</v>
      </c>
      <c r="R7" s="615"/>
      <c r="S7" s="34">
        <v>0.80486111111111114</v>
      </c>
      <c r="T7" s="34">
        <v>0.83263888888888893</v>
      </c>
      <c r="U7" s="309">
        <f t="shared" si="10"/>
        <v>5.9999999999999787</v>
      </c>
      <c r="V7" s="319">
        <f t="shared" si="7"/>
        <v>40.000000000000014</v>
      </c>
      <c r="W7" s="16">
        <f>T7</f>
        <v>0.83263888888888893</v>
      </c>
      <c r="X7" s="16">
        <f>S8</f>
        <v>0.87361111111111112</v>
      </c>
      <c r="Y7" s="19"/>
      <c r="Z7" s="19"/>
      <c r="AA7" s="624"/>
      <c r="AB7" s="625"/>
      <c r="AC7" s="35"/>
      <c r="AD7" s="20"/>
      <c r="AE7" s="14">
        <f t="shared" si="8"/>
        <v>-50.000000000000909</v>
      </c>
      <c r="AF7" s="312">
        <f t="shared" si="9"/>
        <v>0.97499999999999953</v>
      </c>
      <c r="AG7" s="615"/>
    </row>
    <row r="8" spans="1:33">
      <c r="A8" s="652" t="s">
        <v>173</v>
      </c>
      <c r="B8" s="29" t="s">
        <v>15</v>
      </c>
      <c r="C8" s="644" t="s">
        <v>31</v>
      </c>
      <c r="D8" s="645"/>
      <c r="E8" s="29">
        <v>50.98</v>
      </c>
      <c r="F8" s="320">
        <v>1237</v>
      </c>
      <c r="G8" s="309">
        <f t="shared" si="0"/>
        <v>63062.259999999995</v>
      </c>
      <c r="H8" s="33" t="s">
        <v>57</v>
      </c>
      <c r="I8" s="318">
        <v>16</v>
      </c>
      <c r="J8" s="31">
        <v>2000</v>
      </c>
      <c r="K8" s="12">
        <f t="shared" si="1"/>
        <v>125</v>
      </c>
      <c r="L8" s="318">
        <v>16</v>
      </c>
      <c r="M8" s="13">
        <f t="shared" si="2"/>
        <v>1903.076923076922</v>
      </c>
      <c r="N8" s="12">
        <f t="shared" si="3"/>
        <v>118.94230769230762</v>
      </c>
      <c r="O8" s="14">
        <f t="shared" si="4"/>
        <v>0</v>
      </c>
      <c r="P8" s="15">
        <f t="shared" si="5"/>
        <v>-6.0576923076923777</v>
      </c>
      <c r="Q8" s="312">
        <f t="shared" si="6"/>
        <v>0.951538461538461</v>
      </c>
      <c r="R8" s="615"/>
      <c r="S8" s="34">
        <v>0.87361111111111112</v>
      </c>
      <c r="T8" s="34">
        <v>0.90069444444444446</v>
      </c>
      <c r="U8" s="309">
        <f t="shared" si="10"/>
        <v>58.99999999999995</v>
      </c>
      <c r="V8" s="319">
        <f t="shared" si="7"/>
        <v>39.000000000000021</v>
      </c>
      <c r="W8" s="21"/>
      <c r="X8" s="21"/>
      <c r="Y8" s="22"/>
      <c r="Z8" s="22"/>
      <c r="AA8" s="624"/>
      <c r="AB8" s="625"/>
      <c r="AC8" s="35"/>
      <c r="AD8" s="20"/>
      <c r="AE8" s="14">
        <f t="shared" si="8"/>
        <v>-96.923076923078042</v>
      </c>
      <c r="AF8" s="312">
        <f t="shared" si="9"/>
        <v>0.951538461538461</v>
      </c>
      <c r="AG8" s="615"/>
    </row>
    <row r="9" spans="1:33">
      <c r="A9" s="652" t="s">
        <v>173</v>
      </c>
      <c r="B9" s="29" t="s">
        <v>175</v>
      </c>
      <c r="C9" s="618"/>
      <c r="D9" s="618"/>
      <c r="E9" s="313"/>
      <c r="F9" s="30"/>
      <c r="G9" s="12"/>
      <c r="H9" s="320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1921.7057632769699</v>
      </c>
      <c r="N9" s="12">
        <f t="shared" si="3"/>
        <v>123.98101698561096</v>
      </c>
      <c r="O9" s="14">
        <f t="shared" si="4"/>
        <v>0</v>
      </c>
      <c r="P9" s="15">
        <f t="shared" si="5"/>
        <v>-5.0512410789051643</v>
      </c>
      <c r="Q9" s="312">
        <f t="shared" si="6"/>
        <v>0.96085288163848492</v>
      </c>
      <c r="R9" s="615"/>
      <c r="S9" s="34"/>
      <c r="T9" s="34"/>
      <c r="U9" s="309"/>
      <c r="V9" s="319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-78.294236723030053</v>
      </c>
      <c r="AF9" s="312">
        <f t="shared" si="9"/>
        <v>0.96085288163848492</v>
      </c>
      <c r="AG9" s="615"/>
    </row>
    <row r="10" spans="1:33" ht="15.75" customHeight="1">
      <c r="A10" s="648" t="s">
        <v>174</v>
      </c>
      <c r="B10" s="29" t="s">
        <v>19</v>
      </c>
      <c r="C10" s="644" t="s">
        <v>20</v>
      </c>
      <c r="D10" s="645"/>
      <c r="E10" s="29">
        <v>39.619999999999997</v>
      </c>
      <c r="F10" s="320">
        <v>5367</v>
      </c>
      <c r="G10" s="309">
        <f t="shared" ref="G10:G13" si="11">E10*F10</f>
        <v>212640.53999999998</v>
      </c>
      <c r="H10" s="33" t="s">
        <v>57</v>
      </c>
      <c r="I10" s="318">
        <v>19</v>
      </c>
      <c r="J10" s="31">
        <v>1500</v>
      </c>
      <c r="K10" s="12">
        <f t="shared" si="1"/>
        <v>78.94736842105263</v>
      </c>
      <c r="L10" s="318">
        <v>19</v>
      </c>
      <c r="M10" s="13">
        <f t="shared" ref="M10:M13" si="12">F10/V10*60</f>
        <v>1431.1999999999998</v>
      </c>
      <c r="N10" s="12">
        <f t="shared" si="3"/>
        <v>75.326315789473668</v>
      </c>
      <c r="O10" s="14">
        <f t="shared" si="4"/>
        <v>0</v>
      </c>
      <c r="P10" s="15">
        <f t="shared" si="5"/>
        <v>-3.6210526315789622</v>
      </c>
      <c r="Q10" s="312">
        <f t="shared" si="6"/>
        <v>0.95413333333333317</v>
      </c>
      <c r="R10" s="615">
        <f>Q14</f>
        <v>0.9539371332421781</v>
      </c>
      <c r="S10" s="34">
        <v>8.3333333333333329E-2</v>
      </c>
      <c r="T10" s="34">
        <v>0.23958333333333331</v>
      </c>
      <c r="U10" s="309"/>
      <c r="V10" s="319">
        <f t="shared" ref="V10:V13" si="13">(T10-S10)*24*60</f>
        <v>225</v>
      </c>
      <c r="W10" s="16">
        <f>T10</f>
        <v>0.23958333333333331</v>
      </c>
      <c r="X10" s="16">
        <f>S11</f>
        <v>0.25902777777777775</v>
      </c>
      <c r="Y10" s="16"/>
      <c r="Z10" s="16"/>
      <c r="AA10" s="617"/>
      <c r="AB10" s="617"/>
      <c r="AC10" s="35">
        <v>4</v>
      </c>
      <c r="AD10" s="18"/>
      <c r="AE10" s="14">
        <f t="shared" si="8"/>
        <v>-68.800000000000182</v>
      </c>
      <c r="AF10" s="312">
        <f t="shared" si="9"/>
        <v>0.95413333333333317</v>
      </c>
      <c r="AG10" s="615">
        <f>AF14</f>
        <v>0.95393713324217821</v>
      </c>
    </row>
    <row r="11" spans="1:33" ht="15.75" customHeight="1">
      <c r="A11" s="648" t="s">
        <v>174</v>
      </c>
      <c r="B11" s="29" t="s">
        <v>19</v>
      </c>
      <c r="C11" s="644" t="s">
        <v>83</v>
      </c>
      <c r="D11" s="645"/>
      <c r="E11" s="29">
        <v>39.46</v>
      </c>
      <c r="F11" s="320">
        <v>4977</v>
      </c>
      <c r="G11" s="309">
        <f t="shared" si="11"/>
        <v>196392.42</v>
      </c>
      <c r="H11" s="33" t="s">
        <v>57</v>
      </c>
      <c r="I11" s="318">
        <v>16</v>
      </c>
      <c r="J11" s="31">
        <v>1500</v>
      </c>
      <c r="K11" s="12">
        <f t="shared" si="1"/>
        <v>93.75</v>
      </c>
      <c r="L11" s="318">
        <v>16</v>
      </c>
      <c r="M11" s="13">
        <f t="shared" si="12"/>
        <v>1428.803827751196</v>
      </c>
      <c r="N11" s="12">
        <f t="shared" si="3"/>
        <v>89.300239234449748</v>
      </c>
      <c r="O11" s="14">
        <f t="shared" si="4"/>
        <v>0</v>
      </c>
      <c r="P11" s="15">
        <f t="shared" si="5"/>
        <v>-4.449760765550252</v>
      </c>
      <c r="Q11" s="312">
        <f t="shared" si="6"/>
        <v>0.95253588516746401</v>
      </c>
      <c r="R11" s="615"/>
      <c r="S11" s="34">
        <v>0.25902777777777775</v>
      </c>
      <c r="T11" s="34">
        <v>0.40416666666666667</v>
      </c>
      <c r="U11" s="309">
        <f t="shared" ref="U11:U13" si="14">IF(S11=TIME(17,0,0),"",(S11-T10)*24*60)</f>
        <v>27.999999999999979</v>
      </c>
      <c r="V11" s="319">
        <f t="shared" si="13"/>
        <v>209.00000000000006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-71.196172248804032</v>
      </c>
      <c r="AF11" s="312">
        <f t="shared" si="9"/>
        <v>0.95253588516746401</v>
      </c>
      <c r="AG11" s="615"/>
    </row>
    <row r="12" spans="1:33" ht="15.75" customHeight="1">
      <c r="A12" s="648" t="s">
        <v>174</v>
      </c>
      <c r="B12" s="29" t="s">
        <v>19</v>
      </c>
      <c r="C12" s="644" t="s">
        <v>21</v>
      </c>
      <c r="D12" s="645"/>
      <c r="E12" s="29">
        <v>39.799999999999997</v>
      </c>
      <c r="F12" s="320">
        <v>3100</v>
      </c>
      <c r="G12" s="309">
        <f t="shared" si="11"/>
        <v>123379.99999999999</v>
      </c>
      <c r="H12" s="33">
        <v>2</v>
      </c>
      <c r="I12" s="318">
        <v>17</v>
      </c>
      <c r="J12" s="31">
        <v>1500</v>
      </c>
      <c r="K12" s="12">
        <f t="shared" si="1"/>
        <v>88.235294117647058</v>
      </c>
      <c r="L12" s="318">
        <v>17</v>
      </c>
      <c r="M12" s="13">
        <f t="shared" si="12"/>
        <v>1430.7692307692305</v>
      </c>
      <c r="N12" s="12">
        <f t="shared" si="3"/>
        <v>84.162895927601795</v>
      </c>
      <c r="O12" s="14">
        <f t="shared" si="4"/>
        <v>0</v>
      </c>
      <c r="P12" s="15">
        <f t="shared" si="5"/>
        <v>-4.0723981900452628</v>
      </c>
      <c r="Q12" s="312">
        <f t="shared" si="6"/>
        <v>0.95384615384615368</v>
      </c>
      <c r="R12" s="615"/>
      <c r="S12" s="34">
        <v>0.40902777777777777</v>
      </c>
      <c r="T12" s="34">
        <v>0.49930555555555556</v>
      </c>
      <c r="U12" s="309">
        <f t="shared" si="14"/>
        <v>6.9999999999999751</v>
      </c>
      <c r="V12" s="319">
        <f t="shared" si="13"/>
        <v>130.00000000000003</v>
      </c>
      <c r="W12" s="16">
        <f>T12</f>
        <v>0.49930555555555556</v>
      </c>
      <c r="X12" s="16">
        <f>S13</f>
        <v>0.53749999999999998</v>
      </c>
      <c r="Y12" s="16"/>
      <c r="Z12" s="16"/>
      <c r="AA12" s="617"/>
      <c r="AB12" s="617"/>
      <c r="AC12" s="35"/>
      <c r="AD12" s="18"/>
      <c r="AE12" s="14">
        <f t="shared" si="8"/>
        <v>-69.230769230769511</v>
      </c>
      <c r="AF12" s="312">
        <f t="shared" si="9"/>
        <v>0.95384615384615368</v>
      </c>
      <c r="AG12" s="615"/>
    </row>
    <row r="13" spans="1:33" ht="15.75" customHeight="1">
      <c r="A13" s="648" t="s">
        <v>174</v>
      </c>
      <c r="B13" s="29" t="s">
        <v>19</v>
      </c>
      <c r="C13" s="644" t="s">
        <v>21</v>
      </c>
      <c r="D13" s="645"/>
      <c r="E13" s="29">
        <v>39.799999999999997</v>
      </c>
      <c r="F13" s="320">
        <v>4609</v>
      </c>
      <c r="G13" s="309">
        <f t="shared" si="11"/>
        <v>183438.19999999998</v>
      </c>
      <c r="H13" s="33" t="s">
        <v>57</v>
      </c>
      <c r="I13" s="318">
        <v>17</v>
      </c>
      <c r="J13" s="31">
        <v>1500</v>
      </c>
      <c r="K13" s="12">
        <f t="shared" si="1"/>
        <v>88.235294117647058</v>
      </c>
      <c r="L13" s="318">
        <v>17</v>
      </c>
      <c r="M13" s="13">
        <f t="shared" si="12"/>
        <v>1432.8497409326428</v>
      </c>
      <c r="N13" s="12">
        <f t="shared" si="3"/>
        <v>84.285278878390756</v>
      </c>
      <c r="O13" s="14">
        <f t="shared" si="4"/>
        <v>0</v>
      </c>
      <c r="P13" s="15">
        <f t="shared" si="5"/>
        <v>-3.9500152392563024</v>
      </c>
      <c r="Q13" s="312">
        <f t="shared" si="6"/>
        <v>0.95523316062176189</v>
      </c>
      <c r="R13" s="615"/>
      <c r="S13" s="34">
        <v>0.53749999999999998</v>
      </c>
      <c r="T13" s="34">
        <v>0.67152777777777772</v>
      </c>
      <c r="U13" s="309">
        <f t="shared" si="14"/>
        <v>54.999999999999964</v>
      </c>
      <c r="V13" s="319">
        <f t="shared" si="13"/>
        <v>192.99999999999994</v>
      </c>
      <c r="W13" s="16"/>
      <c r="X13" s="16"/>
      <c r="Y13" s="16"/>
      <c r="Z13" s="16"/>
      <c r="AA13" s="624"/>
      <c r="AB13" s="625"/>
      <c r="AC13" s="35"/>
      <c r="AD13" s="18"/>
      <c r="AE13" s="14">
        <f t="shared" si="8"/>
        <v>-67.150259067357183</v>
      </c>
      <c r="AF13" s="312">
        <f t="shared" si="9"/>
        <v>0.95523316062176189</v>
      </c>
      <c r="AG13" s="615"/>
    </row>
    <row r="14" spans="1:33" ht="16.5" customHeight="1">
      <c r="A14" s="648" t="s">
        <v>174</v>
      </c>
      <c r="B14" s="29" t="s">
        <v>175</v>
      </c>
      <c r="C14" s="618"/>
      <c r="D14" s="618"/>
      <c r="E14" s="313"/>
      <c r="F14" s="31"/>
      <c r="G14" s="13"/>
      <c r="H14" s="320"/>
      <c r="I14" s="23">
        <v>17.25</v>
      </c>
      <c r="J14" s="31">
        <v>1500</v>
      </c>
      <c r="K14" s="12">
        <f t="shared" si="1"/>
        <v>86.956521739130437</v>
      </c>
      <c r="L14" s="23">
        <v>17.25</v>
      </c>
      <c r="M14" s="13">
        <f>AVERAGE(M10:M13)</f>
        <v>1430.9056998632673</v>
      </c>
      <c r="N14" s="12">
        <f t="shared" si="3"/>
        <v>82.951055064537229</v>
      </c>
      <c r="O14" s="14">
        <f t="shared" si="4"/>
        <v>0</v>
      </c>
      <c r="P14" s="15">
        <f t="shared" si="5"/>
        <v>-4.0054666745932082</v>
      </c>
      <c r="Q14" s="312">
        <f t="shared" si="6"/>
        <v>0.9539371332421781</v>
      </c>
      <c r="R14" s="615"/>
      <c r="S14" s="34"/>
      <c r="T14" s="34"/>
      <c r="U14" s="12"/>
      <c r="V14" s="319"/>
      <c r="W14" s="12"/>
      <c r="X14" s="12"/>
      <c r="Y14" s="24">
        <f>SUM(Y10:Y13)</f>
        <v>0</v>
      </c>
      <c r="Z14" s="24">
        <f>SUM(Z10:Z13)</f>
        <v>0</v>
      </c>
      <c r="AA14" s="614"/>
      <c r="AB14" s="614"/>
      <c r="AC14" s="24">
        <v>4</v>
      </c>
      <c r="AD14" s="24">
        <f>SUM(AD10:AD13)</f>
        <v>0</v>
      </c>
      <c r="AE14" s="14">
        <f t="shared" si="8"/>
        <v>-69.094300136732727</v>
      </c>
      <c r="AF14" s="312">
        <f t="shared" si="9"/>
        <v>0.95393713324217821</v>
      </c>
      <c r="AG14" s="615"/>
    </row>
    <row r="15" spans="1:33" ht="16.5" customHeight="1">
      <c r="A15" s="646" t="s">
        <v>8</v>
      </c>
      <c r="B15" s="320" t="s">
        <v>22</v>
      </c>
      <c r="C15" s="640" t="s">
        <v>23</v>
      </c>
      <c r="D15" s="640"/>
      <c r="E15" s="29">
        <v>41</v>
      </c>
      <c r="F15" s="320">
        <v>2388</v>
      </c>
      <c r="G15" s="309">
        <f t="shared" ref="G15:G21" si="15">E15*F15</f>
        <v>97908</v>
      </c>
      <c r="H15" s="33" t="s">
        <v>57</v>
      </c>
      <c r="I15" s="318">
        <v>26</v>
      </c>
      <c r="J15" s="31">
        <v>1500</v>
      </c>
      <c r="K15" s="12">
        <f t="shared" si="1"/>
        <v>57.692307692307693</v>
      </c>
      <c r="L15" s="318">
        <v>26</v>
      </c>
      <c r="M15" s="13">
        <f t="shared" ref="M15:M21" si="16">F15/V15*60</f>
        <v>1432.7999999999997</v>
      </c>
      <c r="N15" s="12">
        <f t="shared" si="3"/>
        <v>55.107692307692297</v>
      </c>
      <c r="O15" s="14">
        <f t="shared" si="4"/>
        <v>0</v>
      </c>
      <c r="P15" s="15">
        <f t="shared" si="5"/>
        <v>-2.5846153846153967</v>
      </c>
      <c r="Q15" s="312">
        <f t="shared" si="6"/>
        <v>0.95519999999999983</v>
      </c>
      <c r="R15" s="615">
        <f>Q22</f>
        <v>0.95963692092221509</v>
      </c>
      <c r="S15" s="34">
        <v>8.3333333333333329E-2</v>
      </c>
      <c r="T15" s="34">
        <v>0.15277777777777779</v>
      </c>
      <c r="U15" s="309"/>
      <c r="V15" s="319">
        <f t="shared" ref="V15:V21" si="17">(T15-S15)*24*60</f>
        <v>100.00000000000001</v>
      </c>
      <c r="W15" s="16">
        <f>T15</f>
        <v>0.15277777777777779</v>
      </c>
      <c r="X15" s="16">
        <f>S16</f>
        <v>0.17430555555555557</v>
      </c>
      <c r="Y15" s="21"/>
      <c r="Z15" s="21"/>
      <c r="AA15" s="617"/>
      <c r="AB15" s="617"/>
      <c r="AC15" s="35">
        <v>7</v>
      </c>
      <c r="AD15" s="18"/>
      <c r="AE15" s="14">
        <f t="shared" si="8"/>
        <v>-67.200000000000273</v>
      </c>
      <c r="AF15" s="312">
        <f t="shared" si="9"/>
        <v>0.95519999999999983</v>
      </c>
      <c r="AG15" s="615">
        <f>AF22</f>
        <v>0.9596369209222152</v>
      </c>
    </row>
    <row r="16" spans="1:33" ht="16.5" customHeight="1">
      <c r="A16" s="647" t="s">
        <v>8</v>
      </c>
      <c r="B16" s="320" t="s">
        <v>22</v>
      </c>
      <c r="C16" s="640" t="s">
        <v>87</v>
      </c>
      <c r="D16" s="640"/>
      <c r="E16" s="29">
        <v>38.619999999999997</v>
      </c>
      <c r="F16" s="320">
        <v>2847</v>
      </c>
      <c r="G16" s="309">
        <f t="shared" si="15"/>
        <v>109951.14</v>
      </c>
      <c r="H16" s="33" t="s">
        <v>57</v>
      </c>
      <c r="I16" s="318">
        <v>24</v>
      </c>
      <c r="J16" s="31">
        <v>1500</v>
      </c>
      <c r="K16" s="12">
        <f t="shared" si="1"/>
        <v>62.5</v>
      </c>
      <c r="L16" s="318">
        <v>24</v>
      </c>
      <c r="M16" s="13">
        <f t="shared" si="16"/>
        <v>1435.4621848739494</v>
      </c>
      <c r="N16" s="12">
        <f t="shared" si="3"/>
        <v>59.810924369747887</v>
      </c>
      <c r="O16" s="14">
        <f t="shared" si="4"/>
        <v>0</v>
      </c>
      <c r="P16" s="15">
        <f t="shared" si="5"/>
        <v>-2.6890756302521126</v>
      </c>
      <c r="Q16" s="312">
        <f t="shared" si="6"/>
        <v>0.95697478991596618</v>
      </c>
      <c r="R16" s="615"/>
      <c r="S16" s="34">
        <v>0.17430555555555557</v>
      </c>
      <c r="T16" s="34">
        <v>0.25694444444444448</v>
      </c>
      <c r="U16" s="309">
        <f t="shared" ref="U16:U21" si="18">IF(S16=TIME(17,0,0),"",(S16-T15)*24*60)</f>
        <v>31.000000000000011</v>
      </c>
      <c r="V16" s="319">
        <f t="shared" si="17"/>
        <v>119.00000000000001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-64.537815126050646</v>
      </c>
      <c r="AF16" s="312">
        <f t="shared" si="9"/>
        <v>0.95697478991596618</v>
      </c>
      <c r="AG16" s="615"/>
    </row>
    <row r="17" spans="1:33" ht="16.5" customHeight="1">
      <c r="A17" s="647" t="s">
        <v>8</v>
      </c>
      <c r="B17" s="320" t="s">
        <v>15</v>
      </c>
      <c r="C17" s="640" t="s">
        <v>86</v>
      </c>
      <c r="D17" s="640"/>
      <c r="E17" s="29">
        <v>37.03</v>
      </c>
      <c r="F17" s="320">
        <v>3657</v>
      </c>
      <c r="G17" s="309">
        <f t="shared" si="15"/>
        <v>135418.71</v>
      </c>
      <c r="H17" s="33" t="s">
        <v>57</v>
      </c>
      <c r="I17" s="318">
        <v>13</v>
      </c>
      <c r="J17" s="31">
        <v>1500</v>
      </c>
      <c r="K17" s="12">
        <f t="shared" si="1"/>
        <v>115.38461538461539</v>
      </c>
      <c r="L17" s="318">
        <v>13</v>
      </c>
      <c r="M17" s="13">
        <f t="shared" si="16"/>
        <v>1434.1176470588234</v>
      </c>
      <c r="N17" s="12">
        <f t="shared" si="3"/>
        <v>110.31674208144796</v>
      </c>
      <c r="O17" s="14">
        <f t="shared" si="4"/>
        <v>0</v>
      </c>
      <c r="P17" s="15">
        <f t="shared" si="5"/>
        <v>-5.0678733031674312</v>
      </c>
      <c r="Q17" s="312">
        <f t="shared" si="6"/>
        <v>0.95607843137254889</v>
      </c>
      <c r="R17" s="615"/>
      <c r="S17" s="34">
        <v>0.26180555555555557</v>
      </c>
      <c r="T17" s="34">
        <v>0.36805555555555558</v>
      </c>
      <c r="U17" s="309">
        <f t="shared" si="18"/>
        <v>6.9999999999999751</v>
      </c>
      <c r="V17" s="319">
        <f t="shared" si="17"/>
        <v>153.00000000000003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-65.882352941176578</v>
      </c>
      <c r="AF17" s="312">
        <f t="shared" si="9"/>
        <v>0.956078431372549</v>
      </c>
      <c r="AG17" s="615"/>
    </row>
    <row r="18" spans="1:33" ht="16.5" customHeight="1">
      <c r="A18" s="647" t="s">
        <v>8</v>
      </c>
      <c r="B18" s="320" t="s">
        <v>19</v>
      </c>
      <c r="C18" s="640" t="s">
        <v>267</v>
      </c>
      <c r="D18" s="640"/>
      <c r="E18" s="29">
        <v>39.520000000000003</v>
      </c>
      <c r="F18" s="320">
        <v>4570</v>
      </c>
      <c r="G18" s="309">
        <f t="shared" si="15"/>
        <v>180606.40000000002</v>
      </c>
      <c r="H18" s="33" t="s">
        <v>57</v>
      </c>
      <c r="I18" s="318">
        <v>19</v>
      </c>
      <c r="J18" s="31">
        <v>1500</v>
      </c>
      <c r="K18" s="12">
        <f t="shared" si="1"/>
        <v>78.94736842105263</v>
      </c>
      <c r="L18" s="318">
        <v>19</v>
      </c>
      <c r="M18" s="13">
        <f t="shared" si="16"/>
        <v>1428.1250000000005</v>
      </c>
      <c r="N18" s="12">
        <f t="shared" si="3"/>
        <v>75.164473684210549</v>
      </c>
      <c r="O18" s="14">
        <f t="shared" si="4"/>
        <v>0</v>
      </c>
      <c r="P18" s="15">
        <f t="shared" si="5"/>
        <v>-3.7828947368420813</v>
      </c>
      <c r="Q18" s="312">
        <f t="shared" si="6"/>
        <v>0.95208333333333361</v>
      </c>
      <c r="R18" s="615"/>
      <c r="S18" s="34">
        <v>0.37291666666666667</v>
      </c>
      <c r="T18" s="34">
        <v>0.50624999999999998</v>
      </c>
      <c r="U18" s="309">
        <f t="shared" si="18"/>
        <v>6.9999999999999751</v>
      </c>
      <c r="V18" s="319">
        <f t="shared" si="17"/>
        <v>191.99999999999994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-71.874999999999545</v>
      </c>
      <c r="AF18" s="312">
        <f t="shared" si="9"/>
        <v>0.95208333333333361</v>
      </c>
      <c r="AG18" s="615"/>
    </row>
    <row r="19" spans="1:33" ht="16.5" customHeight="1">
      <c r="A19" s="647" t="s">
        <v>8</v>
      </c>
      <c r="B19" s="320" t="s">
        <v>15</v>
      </c>
      <c r="C19" s="640" t="s">
        <v>25</v>
      </c>
      <c r="D19" s="640"/>
      <c r="E19" s="29">
        <v>53.68</v>
      </c>
      <c r="F19" s="320">
        <v>1220</v>
      </c>
      <c r="G19" s="309">
        <f t="shared" si="15"/>
        <v>65489.599999999999</v>
      </c>
      <c r="H19" s="33" t="s">
        <v>57</v>
      </c>
      <c r="I19" s="318">
        <v>16</v>
      </c>
      <c r="J19" s="31">
        <v>1500</v>
      </c>
      <c r="K19" s="12">
        <f t="shared" si="1"/>
        <v>93.75</v>
      </c>
      <c r="L19" s="318">
        <v>16</v>
      </c>
      <c r="M19" s="13">
        <f t="shared" si="16"/>
        <v>1435.2941176470595</v>
      </c>
      <c r="N19" s="12">
        <f t="shared" si="3"/>
        <v>89.705882352941217</v>
      </c>
      <c r="O19" s="14">
        <f t="shared" si="4"/>
        <v>0</v>
      </c>
      <c r="P19" s="15">
        <f t="shared" si="5"/>
        <v>-4.0441176470587834</v>
      </c>
      <c r="Q19" s="312">
        <f t="shared" si="6"/>
        <v>0.95686274509803959</v>
      </c>
      <c r="R19" s="615"/>
      <c r="S19" s="34">
        <v>0.70833333333333337</v>
      </c>
      <c r="T19" s="34">
        <v>0.74375000000000002</v>
      </c>
      <c r="U19" s="309" t="str">
        <f t="shared" si="18"/>
        <v/>
      </c>
      <c r="V19" s="319">
        <f t="shared" si="17"/>
        <v>50.999999999999979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-64.705882352940534</v>
      </c>
      <c r="AF19" s="312">
        <f t="shared" si="9"/>
        <v>0.95686274509803959</v>
      </c>
      <c r="AG19" s="615"/>
    </row>
    <row r="20" spans="1:33" ht="16.5" customHeight="1">
      <c r="A20" s="647" t="s">
        <v>8</v>
      </c>
      <c r="B20" s="320" t="s">
        <v>15</v>
      </c>
      <c r="C20" s="322" t="s">
        <v>18</v>
      </c>
      <c r="D20" s="323"/>
      <c r="E20" s="29">
        <v>52.86</v>
      </c>
      <c r="F20" s="320">
        <v>1453</v>
      </c>
      <c r="G20" s="309">
        <f t="shared" si="15"/>
        <v>76805.58</v>
      </c>
      <c r="H20" s="33" t="s">
        <v>57</v>
      </c>
      <c r="I20" s="318">
        <v>16</v>
      </c>
      <c r="J20" s="31">
        <v>2000</v>
      </c>
      <c r="K20" s="12">
        <f t="shared" si="1"/>
        <v>125</v>
      </c>
      <c r="L20" s="318">
        <v>16</v>
      </c>
      <c r="M20" s="13">
        <f t="shared" si="16"/>
        <v>1937.3333333333335</v>
      </c>
      <c r="N20" s="12">
        <f t="shared" si="3"/>
        <v>121.08333333333334</v>
      </c>
      <c r="O20" s="14">
        <f t="shared" si="4"/>
        <v>0</v>
      </c>
      <c r="P20" s="15">
        <f t="shared" si="5"/>
        <v>-3.9166666666666572</v>
      </c>
      <c r="Q20" s="312">
        <f t="shared" si="6"/>
        <v>0.96866666666666679</v>
      </c>
      <c r="R20" s="615"/>
      <c r="S20" s="34">
        <v>0.74861111111111112</v>
      </c>
      <c r="T20" s="34">
        <v>0.77986111111111112</v>
      </c>
      <c r="U20" s="309">
        <f t="shared" si="18"/>
        <v>6.9999999999999751</v>
      </c>
      <c r="V20" s="319">
        <f t="shared" si="17"/>
        <v>45</v>
      </c>
      <c r="W20" s="16"/>
      <c r="X20" s="16"/>
      <c r="Y20" s="19"/>
      <c r="Z20" s="19"/>
      <c r="AA20" s="316"/>
      <c r="AB20" s="317"/>
      <c r="AC20" s="35"/>
      <c r="AD20" s="18"/>
      <c r="AE20" s="14">
        <f t="shared" si="8"/>
        <v>-62.666666666666515</v>
      </c>
      <c r="AF20" s="312">
        <f t="shared" si="9"/>
        <v>0.96866666666666679</v>
      </c>
      <c r="AG20" s="615"/>
    </row>
    <row r="21" spans="1:33" ht="16.5" customHeight="1">
      <c r="A21" s="647" t="s">
        <v>8</v>
      </c>
      <c r="B21" s="320" t="s">
        <v>15</v>
      </c>
      <c r="C21" s="322" t="s">
        <v>16</v>
      </c>
      <c r="D21" s="323"/>
      <c r="E21" s="29">
        <v>50.67</v>
      </c>
      <c r="F21" s="320">
        <v>1675</v>
      </c>
      <c r="G21" s="309">
        <f t="shared" si="15"/>
        <v>84872.25</v>
      </c>
      <c r="H21" s="33" t="s">
        <v>57</v>
      </c>
      <c r="I21" s="318">
        <v>17</v>
      </c>
      <c r="J21" s="31">
        <v>2000</v>
      </c>
      <c r="K21" s="12">
        <f t="shared" si="1"/>
        <v>117.64705882352941</v>
      </c>
      <c r="L21" s="318">
        <v>17</v>
      </c>
      <c r="M21" s="13">
        <f t="shared" si="16"/>
        <v>1932.692307692309</v>
      </c>
      <c r="N21" s="12">
        <f t="shared" si="3"/>
        <v>113.68778280542995</v>
      </c>
      <c r="O21" s="14">
        <f t="shared" si="4"/>
        <v>0</v>
      </c>
      <c r="P21" s="15">
        <f t="shared" si="5"/>
        <v>-3.9592760180994588</v>
      </c>
      <c r="Q21" s="312">
        <f t="shared" si="6"/>
        <v>0.96634615384615463</v>
      </c>
      <c r="R21" s="615"/>
      <c r="S21" s="34">
        <v>0.78402777777777777</v>
      </c>
      <c r="T21" s="34">
        <v>0.82013888888888886</v>
      </c>
      <c r="U21" s="309">
        <f t="shared" si="18"/>
        <v>5.9999999999999787</v>
      </c>
      <c r="V21" s="319">
        <f t="shared" si="17"/>
        <v>51.999999999999972</v>
      </c>
      <c r="W21" s="16"/>
      <c r="X21" s="16"/>
      <c r="Y21" s="19"/>
      <c r="Z21" s="19"/>
      <c r="AA21" s="316"/>
      <c r="AB21" s="317"/>
      <c r="AC21" s="35"/>
      <c r="AD21" s="18"/>
      <c r="AE21" s="14">
        <f t="shared" si="8"/>
        <v>-67.307692307691013</v>
      </c>
      <c r="AF21" s="312">
        <f t="shared" si="9"/>
        <v>0.96634615384615452</v>
      </c>
      <c r="AG21" s="615"/>
    </row>
    <row r="22" spans="1:33" ht="16.5" customHeight="1">
      <c r="A22" s="647" t="s">
        <v>8</v>
      </c>
      <c r="B22" s="29" t="s">
        <v>175</v>
      </c>
      <c r="C22" s="618"/>
      <c r="D22" s="618"/>
      <c r="E22" s="313"/>
      <c r="F22" s="30"/>
      <c r="G22" s="12"/>
      <c r="H22" s="320"/>
      <c r="I22" s="23">
        <v>18.714285714285715</v>
      </c>
      <c r="J22" s="31">
        <v>1642.8571428571429</v>
      </c>
      <c r="K22" s="12">
        <f t="shared" si="1"/>
        <v>87.786259541984734</v>
      </c>
      <c r="L22" s="23">
        <v>18.714285714285715</v>
      </c>
      <c r="M22" s="13">
        <f>AVERAGE(M15:M21)</f>
        <v>1576.5463700864964</v>
      </c>
      <c r="N22" s="12">
        <f t="shared" si="3"/>
        <v>84.242935806148651</v>
      </c>
      <c r="O22" s="14">
        <f t="shared" si="4"/>
        <v>0</v>
      </c>
      <c r="P22" s="15">
        <f t="shared" si="5"/>
        <v>-3.5433237358360827</v>
      </c>
      <c r="Q22" s="312">
        <f t="shared" si="6"/>
        <v>0.95963692092221509</v>
      </c>
      <c r="R22" s="615"/>
      <c r="S22" s="34"/>
      <c r="T22" s="34"/>
      <c r="U22" s="309"/>
      <c r="V22" s="319"/>
      <c r="W22" s="12"/>
      <c r="X22" s="12"/>
      <c r="Y22" s="24">
        <f>SUM(Y15:Y21)</f>
        <v>0</v>
      </c>
      <c r="Z22" s="24">
        <f>SUM(Z15:Z21)</f>
        <v>0</v>
      </c>
      <c r="AA22" s="614"/>
      <c r="AB22" s="614"/>
      <c r="AC22" s="24">
        <v>7</v>
      </c>
      <c r="AD22" s="24">
        <f>SUM(AD15:AD21)</f>
        <v>0</v>
      </c>
      <c r="AE22" s="14">
        <f t="shared" si="8"/>
        <v>-66.310772770646508</v>
      </c>
      <c r="AF22" s="312">
        <f t="shared" si="9"/>
        <v>0.9596369209222152</v>
      </c>
      <c r="AG22" s="615"/>
    </row>
    <row r="23" spans="1:33" ht="15.75" customHeight="1">
      <c r="A23" s="642" t="s">
        <v>177</v>
      </c>
      <c r="B23" s="29" t="s">
        <v>15</v>
      </c>
      <c r="C23" s="640" t="s">
        <v>24</v>
      </c>
      <c r="D23" s="640"/>
      <c r="E23" s="29">
        <v>54.09</v>
      </c>
      <c r="F23" s="320">
        <v>1620</v>
      </c>
      <c r="G23" s="309">
        <f t="shared" ref="G23:G28" si="19">E23*F23</f>
        <v>87625.8</v>
      </c>
      <c r="H23" s="33" t="s">
        <v>57</v>
      </c>
      <c r="I23" s="318">
        <v>17</v>
      </c>
      <c r="J23" s="31">
        <v>1500</v>
      </c>
      <c r="K23" s="12">
        <f t="shared" si="1"/>
        <v>88.235294117647058</v>
      </c>
      <c r="L23" s="318">
        <v>17</v>
      </c>
      <c r="M23" s="13">
        <f t="shared" ref="M23:M28" si="20">F23/V23*60</f>
        <v>1429.4117647058833</v>
      </c>
      <c r="N23" s="12">
        <f t="shared" si="3"/>
        <v>84.083044982699022</v>
      </c>
      <c r="O23" s="14">
        <f t="shared" si="4"/>
        <v>0</v>
      </c>
      <c r="P23" s="15">
        <f t="shared" si="5"/>
        <v>-4.1522491349480362</v>
      </c>
      <c r="Q23" s="312">
        <f t="shared" si="6"/>
        <v>0.95294117647058896</v>
      </c>
      <c r="R23" s="615">
        <f>Q29</f>
        <v>0.9595702921972088</v>
      </c>
      <c r="S23" s="34">
        <v>0.20833333333333334</v>
      </c>
      <c r="T23" s="34">
        <v>0.25555555555555554</v>
      </c>
      <c r="U23" s="309"/>
      <c r="V23" s="319">
        <f t="shared" ref="V23:V28" si="21">(T23-S23)*24*60</f>
        <v>67.999999999999957</v>
      </c>
      <c r="W23" s="21"/>
      <c r="X23" s="21"/>
      <c r="Y23" s="21"/>
      <c r="Z23" s="21"/>
      <c r="AA23" s="617"/>
      <c r="AB23" s="617"/>
      <c r="AC23" s="35">
        <v>6</v>
      </c>
      <c r="AD23" s="18"/>
      <c r="AE23" s="14">
        <f t="shared" si="8"/>
        <v>-70.588235294116657</v>
      </c>
      <c r="AF23" s="312">
        <f t="shared" si="9"/>
        <v>0.95294117647058885</v>
      </c>
      <c r="AG23" s="615">
        <f>AF29</f>
        <v>0.9595702921972088</v>
      </c>
    </row>
    <row r="24" spans="1:33" ht="15.75" customHeight="1">
      <c r="A24" s="643" t="s">
        <v>177</v>
      </c>
      <c r="B24" s="29" t="s">
        <v>15</v>
      </c>
      <c r="C24" s="640" t="s">
        <v>28</v>
      </c>
      <c r="D24" s="640"/>
      <c r="E24" s="29">
        <v>50.67</v>
      </c>
      <c r="F24" s="320">
        <v>2567</v>
      </c>
      <c r="G24" s="309">
        <f t="shared" si="19"/>
        <v>130069.89</v>
      </c>
      <c r="H24" s="33" t="s">
        <v>57</v>
      </c>
      <c r="I24" s="318">
        <v>17</v>
      </c>
      <c r="J24" s="31">
        <v>2000</v>
      </c>
      <c r="K24" s="12">
        <f t="shared" si="1"/>
        <v>117.64705882352941</v>
      </c>
      <c r="L24" s="318">
        <v>17</v>
      </c>
      <c r="M24" s="13">
        <f t="shared" si="20"/>
        <v>1925.2499999999995</v>
      </c>
      <c r="N24" s="12">
        <f t="shared" si="3"/>
        <v>113.24999999999997</v>
      </c>
      <c r="O24" s="14">
        <f t="shared" si="4"/>
        <v>0</v>
      </c>
      <c r="P24" s="15">
        <f t="shared" si="5"/>
        <v>-4.3970588235294343</v>
      </c>
      <c r="Q24" s="312">
        <f t="shared" si="6"/>
        <v>0.96262499999999984</v>
      </c>
      <c r="R24" s="615"/>
      <c r="S24" s="34">
        <v>0.26111111111111107</v>
      </c>
      <c r="T24" s="34">
        <v>0.31666666666666665</v>
      </c>
      <c r="U24" s="309">
        <f t="shared" ref="U24:U28" si="22">IF(S24=TIME(17,0,0),"",(S24-T23)*24*60)</f>
        <v>7.9999999999999716</v>
      </c>
      <c r="V24" s="319">
        <f t="shared" si="21"/>
        <v>80.000000000000028</v>
      </c>
      <c r="W24" s="16"/>
      <c r="X24" s="309"/>
      <c r="Y24" s="309"/>
      <c r="Z24" s="309"/>
      <c r="AA24" s="617"/>
      <c r="AB24" s="617"/>
      <c r="AC24" s="35"/>
      <c r="AD24" s="18"/>
      <c r="AE24" s="14">
        <f t="shared" si="8"/>
        <v>-74.750000000000455</v>
      </c>
      <c r="AF24" s="312">
        <f t="shared" si="9"/>
        <v>0.96262499999999973</v>
      </c>
      <c r="AG24" s="615"/>
    </row>
    <row r="25" spans="1:33" ht="15.75" customHeight="1">
      <c r="A25" s="643" t="s">
        <v>177</v>
      </c>
      <c r="B25" s="29" t="s">
        <v>15</v>
      </c>
      <c r="C25" s="640" t="s">
        <v>29</v>
      </c>
      <c r="D25" s="640"/>
      <c r="E25" s="29">
        <v>57.73</v>
      </c>
      <c r="F25" s="320">
        <v>3051</v>
      </c>
      <c r="G25" s="309">
        <f t="shared" si="19"/>
        <v>176134.22999999998</v>
      </c>
      <c r="H25" s="33" t="s">
        <v>57</v>
      </c>
      <c r="I25" s="318">
        <v>14</v>
      </c>
      <c r="J25" s="31">
        <v>2000</v>
      </c>
      <c r="K25" s="12">
        <f t="shared" si="1"/>
        <v>142.85714285714286</v>
      </c>
      <c r="L25" s="318">
        <v>14</v>
      </c>
      <c r="M25" s="13">
        <f t="shared" si="20"/>
        <v>1906.8750000000007</v>
      </c>
      <c r="N25" s="12">
        <f t="shared" si="3"/>
        <v>136.2053571428572</v>
      </c>
      <c r="O25" s="14">
        <f t="shared" si="4"/>
        <v>0</v>
      </c>
      <c r="P25" s="15">
        <f t="shared" si="5"/>
        <v>-6.6517857142856656</v>
      </c>
      <c r="Q25" s="312">
        <f t="shared" si="6"/>
        <v>0.95343750000000038</v>
      </c>
      <c r="R25" s="615"/>
      <c r="S25" s="34">
        <v>0.32152777777777775</v>
      </c>
      <c r="T25" s="34">
        <v>0.3881944444444444</v>
      </c>
      <c r="U25" s="309">
        <f t="shared" si="22"/>
        <v>6.9999999999999751</v>
      </c>
      <c r="V25" s="319">
        <f t="shared" si="21"/>
        <v>95.999999999999972</v>
      </c>
      <c r="W25" s="16"/>
      <c r="X25" s="309"/>
      <c r="Y25" s="309"/>
      <c r="Z25" s="309"/>
      <c r="AA25" s="617"/>
      <c r="AB25" s="617"/>
      <c r="AC25" s="35"/>
      <c r="AD25" s="18"/>
      <c r="AE25" s="14">
        <f t="shared" si="8"/>
        <v>-93.124999999999318</v>
      </c>
      <c r="AF25" s="312">
        <f t="shared" si="9"/>
        <v>0.95343750000000038</v>
      </c>
      <c r="AG25" s="615"/>
    </row>
    <row r="26" spans="1:33" ht="15.75" customHeight="1">
      <c r="A26" s="643" t="s">
        <v>177</v>
      </c>
      <c r="B26" s="29" t="s">
        <v>15</v>
      </c>
      <c r="C26" s="640" t="s">
        <v>80</v>
      </c>
      <c r="D26" s="640"/>
      <c r="E26" s="29">
        <v>53.27</v>
      </c>
      <c r="F26" s="320">
        <v>2154</v>
      </c>
      <c r="G26" s="309">
        <f t="shared" si="19"/>
        <v>114743.58</v>
      </c>
      <c r="H26" s="33" t="s">
        <v>57</v>
      </c>
      <c r="I26" s="318">
        <v>16</v>
      </c>
      <c r="J26" s="31">
        <v>2000</v>
      </c>
      <c r="K26" s="12">
        <f t="shared" si="1"/>
        <v>125</v>
      </c>
      <c r="L26" s="318">
        <v>16</v>
      </c>
      <c r="M26" s="13">
        <f t="shared" si="20"/>
        <v>1928.9552238805973</v>
      </c>
      <c r="N26" s="12">
        <f t="shared" si="3"/>
        <v>120.55970149253733</v>
      </c>
      <c r="O26" s="14">
        <f t="shared" si="4"/>
        <v>0</v>
      </c>
      <c r="P26" s="15">
        <f t="shared" si="5"/>
        <v>-4.4402985074626713</v>
      </c>
      <c r="Q26" s="312">
        <f t="shared" si="6"/>
        <v>0.96447761194029868</v>
      </c>
      <c r="R26" s="615"/>
      <c r="S26" s="34">
        <v>0.39374999999999993</v>
      </c>
      <c r="T26" s="34">
        <v>0.44027777777777771</v>
      </c>
      <c r="U26" s="309">
        <f t="shared" si="22"/>
        <v>7.9999999999999716</v>
      </c>
      <c r="V26" s="319">
        <f t="shared" si="21"/>
        <v>67</v>
      </c>
      <c r="W26" s="16"/>
      <c r="X26" s="309"/>
      <c r="Y26" s="309"/>
      <c r="Z26" s="309"/>
      <c r="AA26" s="617"/>
      <c r="AB26" s="617"/>
      <c r="AC26" s="35"/>
      <c r="AD26" s="18"/>
      <c r="AE26" s="14">
        <f t="shared" si="8"/>
        <v>-71.044776119402741</v>
      </c>
      <c r="AF26" s="312">
        <f t="shared" si="9"/>
        <v>0.96447761194029868</v>
      </c>
      <c r="AG26" s="615"/>
    </row>
    <row r="27" spans="1:33" ht="15.75" customHeight="1">
      <c r="A27" s="643" t="s">
        <v>177</v>
      </c>
      <c r="B27" s="29" t="s">
        <v>15</v>
      </c>
      <c r="C27" s="640" t="s">
        <v>30</v>
      </c>
      <c r="D27" s="640"/>
      <c r="E27" s="29">
        <v>50.49</v>
      </c>
      <c r="F27" s="320">
        <v>2093</v>
      </c>
      <c r="G27" s="309">
        <f t="shared" si="19"/>
        <v>105675.57</v>
      </c>
      <c r="H27" s="33" t="s">
        <v>57</v>
      </c>
      <c r="I27" s="318">
        <v>15</v>
      </c>
      <c r="J27" s="31">
        <v>2000</v>
      </c>
      <c r="K27" s="12">
        <f t="shared" si="1"/>
        <v>133.33333333333334</v>
      </c>
      <c r="L27" s="318">
        <v>15</v>
      </c>
      <c r="M27" s="13">
        <f t="shared" si="20"/>
        <v>1932.0000000000023</v>
      </c>
      <c r="N27" s="12">
        <f t="shared" si="3"/>
        <v>128.80000000000015</v>
      </c>
      <c r="O27" s="14">
        <f t="shared" si="4"/>
        <v>0</v>
      </c>
      <c r="P27" s="15">
        <f t="shared" si="5"/>
        <v>-4.5333333333331893</v>
      </c>
      <c r="Q27" s="312">
        <f t="shared" si="6"/>
        <v>0.96600000000000108</v>
      </c>
      <c r="R27" s="615"/>
      <c r="S27" s="34">
        <v>0.70833333333333337</v>
      </c>
      <c r="T27" s="34">
        <v>0.75347222222222221</v>
      </c>
      <c r="U27" s="309" t="str">
        <f t="shared" si="22"/>
        <v/>
      </c>
      <c r="V27" s="319">
        <f t="shared" si="21"/>
        <v>64.999999999999929</v>
      </c>
      <c r="W27" s="16"/>
      <c r="X27" s="16"/>
      <c r="Y27" s="309"/>
      <c r="Z27" s="309"/>
      <c r="AA27" s="617"/>
      <c r="AB27" s="617"/>
      <c r="AC27" s="35"/>
      <c r="AD27" s="18"/>
      <c r="AE27" s="14">
        <f t="shared" si="8"/>
        <v>-67.999999999997726</v>
      </c>
      <c r="AF27" s="312">
        <f t="shared" si="9"/>
        <v>0.96600000000000119</v>
      </c>
      <c r="AG27" s="615"/>
    </row>
    <row r="28" spans="1:33" ht="15.75" customHeight="1">
      <c r="A28" s="643" t="s">
        <v>177</v>
      </c>
      <c r="B28" s="29" t="s">
        <v>15</v>
      </c>
      <c r="C28" s="640" t="s">
        <v>82</v>
      </c>
      <c r="D28" s="640"/>
      <c r="E28" s="29">
        <v>51.06</v>
      </c>
      <c r="F28" s="320">
        <v>3602</v>
      </c>
      <c r="G28" s="309">
        <f t="shared" si="19"/>
        <v>183918.12</v>
      </c>
      <c r="H28" s="33" t="s">
        <v>57</v>
      </c>
      <c r="I28" s="318">
        <v>13</v>
      </c>
      <c r="J28" s="31">
        <v>2000</v>
      </c>
      <c r="K28" s="12">
        <f t="shared" si="1"/>
        <v>153.84615384615384</v>
      </c>
      <c r="L28" s="318">
        <v>13</v>
      </c>
      <c r="M28" s="13">
        <f t="shared" si="20"/>
        <v>1912.5663716814174</v>
      </c>
      <c r="N28" s="12">
        <f t="shared" si="3"/>
        <v>147.1204901293398</v>
      </c>
      <c r="O28" s="14">
        <f t="shared" si="4"/>
        <v>0</v>
      </c>
      <c r="P28" s="15">
        <f t="shared" si="5"/>
        <v>-6.7256637168140401</v>
      </c>
      <c r="Q28" s="312">
        <f t="shared" si="6"/>
        <v>0.9562831858407087</v>
      </c>
      <c r="R28" s="615"/>
      <c r="S28" s="34">
        <v>0.75763888888888886</v>
      </c>
      <c r="T28" s="34">
        <v>0.83611111111111103</v>
      </c>
      <c r="U28" s="309">
        <f t="shared" si="22"/>
        <v>5.9999999999999787</v>
      </c>
      <c r="V28" s="319">
        <f t="shared" si="21"/>
        <v>112.99999999999991</v>
      </c>
      <c r="W28" s="16"/>
      <c r="X28" s="21"/>
      <c r="Y28" s="21"/>
      <c r="Z28" s="21"/>
      <c r="AA28" s="617"/>
      <c r="AB28" s="617"/>
      <c r="AC28" s="35"/>
      <c r="AD28" s="18"/>
      <c r="AE28" s="14">
        <f t="shared" si="8"/>
        <v>-87.433628318582578</v>
      </c>
      <c r="AF28" s="312">
        <f t="shared" si="9"/>
        <v>0.9562831858407087</v>
      </c>
      <c r="AG28" s="615"/>
    </row>
    <row r="29" spans="1:33" ht="15.75" customHeight="1">
      <c r="A29" s="643" t="s">
        <v>177</v>
      </c>
      <c r="B29" s="29" t="s">
        <v>175</v>
      </c>
      <c r="C29" s="618"/>
      <c r="D29" s="618"/>
      <c r="E29" s="313"/>
      <c r="F29" s="320"/>
      <c r="G29" s="309"/>
      <c r="H29" s="320"/>
      <c r="I29" s="23">
        <v>15.333333333333334</v>
      </c>
      <c r="J29" s="31">
        <v>1916.6666666666667</v>
      </c>
      <c r="K29" s="12">
        <f t="shared" si="1"/>
        <v>125</v>
      </c>
      <c r="L29" s="23">
        <v>15.333333333333334</v>
      </c>
      <c r="M29" s="13">
        <f>AVERAGE(M23:M28)</f>
        <v>1839.1763933779837</v>
      </c>
      <c r="N29" s="12">
        <f t="shared" si="3"/>
        <v>119.9462865246511</v>
      </c>
      <c r="O29" s="14">
        <f t="shared" si="4"/>
        <v>0</v>
      </c>
      <c r="P29" s="15">
        <f t="shared" si="5"/>
        <v>-5.0537134753488999</v>
      </c>
      <c r="Q29" s="312">
        <f t="shared" si="6"/>
        <v>0.9595702921972088</v>
      </c>
      <c r="R29" s="615"/>
      <c r="S29" s="34"/>
      <c r="T29" s="34"/>
      <c r="U29" s="12"/>
      <c r="V29" s="319"/>
      <c r="W29" s="12"/>
      <c r="X29" s="12"/>
      <c r="Y29" s="24">
        <f>SUM(Y23:Y28)</f>
        <v>0</v>
      </c>
      <c r="Z29" s="24">
        <f>SUM(Z23:Z28)</f>
        <v>0</v>
      </c>
      <c r="AA29" s="614"/>
      <c r="AB29" s="614"/>
      <c r="AC29" s="24">
        <v>6</v>
      </c>
      <c r="AD29" s="24">
        <f>SUM(AD23:AD28)</f>
        <v>0</v>
      </c>
      <c r="AE29" s="14">
        <f t="shared" si="8"/>
        <v>-77.490273288683056</v>
      </c>
      <c r="AF29" s="312">
        <f t="shared" si="9"/>
        <v>0.9595702921972088</v>
      </c>
      <c r="AG29" s="615"/>
    </row>
    <row r="30" spans="1:33" ht="15.75" customHeight="1">
      <c r="A30" s="641" t="s">
        <v>10</v>
      </c>
      <c r="B30" s="29" t="s">
        <v>32</v>
      </c>
      <c r="C30" s="640" t="s">
        <v>33</v>
      </c>
      <c r="D30" s="640"/>
      <c r="E30" s="29">
        <v>31.29</v>
      </c>
      <c r="F30" s="320">
        <v>6000</v>
      </c>
      <c r="G30" s="309">
        <f t="shared" ref="G30:G37" si="23">E30*F30</f>
        <v>187740</v>
      </c>
      <c r="H30" s="33">
        <v>2</v>
      </c>
      <c r="I30" s="318">
        <v>18</v>
      </c>
      <c r="J30" s="31">
        <v>2400</v>
      </c>
      <c r="K30" s="12">
        <f t="shared" si="1"/>
        <v>133.33333333333334</v>
      </c>
      <c r="L30" s="318">
        <v>18</v>
      </c>
      <c r="M30" s="13">
        <f t="shared" ref="M30:M37" si="24">F30/V30*60</f>
        <v>2292.993630573249</v>
      </c>
      <c r="N30" s="12">
        <f t="shared" si="3"/>
        <v>127.38853503184717</v>
      </c>
      <c r="O30" s="14">
        <f t="shared" si="4"/>
        <v>0</v>
      </c>
      <c r="P30" s="15">
        <f t="shared" si="5"/>
        <v>-5.9447983014861734</v>
      </c>
      <c r="Q30" s="312">
        <f t="shared" si="6"/>
        <v>0.95541401273885374</v>
      </c>
      <c r="R30" s="615">
        <f>Q38</f>
        <v>0.95568609243308533</v>
      </c>
      <c r="S30" s="34">
        <v>8.3333333333333329E-2</v>
      </c>
      <c r="T30" s="34">
        <v>0.19236111111111109</v>
      </c>
      <c r="U30" s="309"/>
      <c r="V30" s="319">
        <f t="shared" ref="V30:V37" si="25">(T30-S30)*24*60</f>
        <v>156.99999999999997</v>
      </c>
      <c r="W30" s="16">
        <f>T30</f>
        <v>0.19236111111111109</v>
      </c>
      <c r="X30" s="16">
        <f>S31</f>
        <v>0.21111111111111108</v>
      </c>
      <c r="Y30" s="16"/>
      <c r="Z30" s="16"/>
      <c r="AA30" s="617"/>
      <c r="AB30" s="617"/>
      <c r="AC30" s="35">
        <v>8</v>
      </c>
      <c r="AD30" s="18"/>
      <c r="AE30" s="14">
        <f t="shared" si="8"/>
        <v>-107.00636942675101</v>
      </c>
      <c r="AF30" s="312">
        <f t="shared" si="9"/>
        <v>0.95541401273885374</v>
      </c>
      <c r="AG30" s="615">
        <f>AF38</f>
        <v>0.95568609243308533</v>
      </c>
    </row>
    <row r="31" spans="1:33" ht="15.75" customHeight="1">
      <c r="A31" s="641" t="s">
        <v>10</v>
      </c>
      <c r="B31" s="29" t="s">
        <v>32</v>
      </c>
      <c r="C31" s="640" t="s">
        <v>34</v>
      </c>
      <c r="D31" s="640"/>
      <c r="E31" s="29">
        <v>26.37</v>
      </c>
      <c r="F31" s="320">
        <v>4000</v>
      </c>
      <c r="G31" s="309">
        <f t="shared" si="23"/>
        <v>105480</v>
      </c>
      <c r="H31" s="33">
        <v>2</v>
      </c>
      <c r="I31" s="318">
        <v>18</v>
      </c>
      <c r="J31" s="31">
        <v>2400</v>
      </c>
      <c r="K31" s="12">
        <f t="shared" si="1"/>
        <v>133.33333333333334</v>
      </c>
      <c r="L31" s="318">
        <v>18</v>
      </c>
      <c r="M31" s="13">
        <f t="shared" si="24"/>
        <v>2285.7142857142853</v>
      </c>
      <c r="N31" s="12">
        <f t="shared" si="3"/>
        <v>126.98412698412696</v>
      </c>
      <c r="O31" s="14">
        <f t="shared" si="4"/>
        <v>0</v>
      </c>
      <c r="P31" s="15">
        <f t="shared" si="5"/>
        <v>-6.3492063492063835</v>
      </c>
      <c r="Q31" s="312">
        <f t="shared" si="6"/>
        <v>0.95238095238095211</v>
      </c>
      <c r="R31" s="615"/>
      <c r="S31" s="34">
        <v>0.21111111111111108</v>
      </c>
      <c r="T31" s="34">
        <v>0.28402777777777777</v>
      </c>
      <c r="U31" s="309">
        <f t="shared" ref="U31:U37" si="26">(S31-T30)*24*60</f>
        <v>26.999999999999986</v>
      </c>
      <c r="V31" s="319">
        <f t="shared" si="25"/>
        <v>105.00000000000003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-114.28571428571468</v>
      </c>
      <c r="AF31" s="312">
        <f t="shared" si="9"/>
        <v>0.95238095238095222</v>
      </c>
      <c r="AG31" s="615"/>
    </row>
    <row r="32" spans="1:33" ht="15.75" customHeight="1">
      <c r="A32" s="641" t="s">
        <v>10</v>
      </c>
      <c r="B32" s="29" t="s">
        <v>32</v>
      </c>
      <c r="C32" s="640" t="s">
        <v>76</v>
      </c>
      <c r="D32" s="640"/>
      <c r="E32" s="29">
        <v>26.18</v>
      </c>
      <c r="F32" s="320">
        <v>4800</v>
      </c>
      <c r="G32" s="309">
        <f t="shared" si="23"/>
        <v>125664</v>
      </c>
      <c r="H32" s="33">
        <v>2</v>
      </c>
      <c r="I32" s="318">
        <v>18</v>
      </c>
      <c r="J32" s="31">
        <v>2400</v>
      </c>
      <c r="K32" s="12">
        <f t="shared" si="1"/>
        <v>133.33333333333334</v>
      </c>
      <c r="L32" s="318">
        <v>18</v>
      </c>
      <c r="M32" s="13">
        <f t="shared" si="24"/>
        <v>2285.7142857142853</v>
      </c>
      <c r="N32" s="12">
        <f t="shared" si="3"/>
        <v>126.98412698412696</v>
      </c>
      <c r="O32" s="14">
        <f t="shared" si="4"/>
        <v>0</v>
      </c>
      <c r="P32" s="15">
        <f t="shared" si="5"/>
        <v>-6.3492063492063835</v>
      </c>
      <c r="Q32" s="312">
        <f t="shared" si="6"/>
        <v>0.95238095238095211</v>
      </c>
      <c r="R32" s="615"/>
      <c r="S32" s="34">
        <v>0.28888888888888886</v>
      </c>
      <c r="T32" s="34">
        <v>0.37638888888888888</v>
      </c>
      <c r="U32" s="309">
        <f t="shared" si="26"/>
        <v>6.9999999999999751</v>
      </c>
      <c r="V32" s="319">
        <f t="shared" si="25"/>
        <v>126.00000000000003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-114.28571428571468</v>
      </c>
      <c r="AF32" s="312">
        <f t="shared" si="9"/>
        <v>0.95238095238095222</v>
      </c>
      <c r="AG32" s="615"/>
    </row>
    <row r="33" spans="1:33" ht="15.75" customHeight="1">
      <c r="A33" s="641" t="s">
        <v>10</v>
      </c>
      <c r="B33" s="29" t="s">
        <v>32</v>
      </c>
      <c r="C33" s="640" t="s">
        <v>79</v>
      </c>
      <c r="D33" s="640"/>
      <c r="E33" s="29">
        <v>25.99</v>
      </c>
      <c r="F33" s="320">
        <v>2448</v>
      </c>
      <c r="G33" s="309">
        <f t="shared" si="23"/>
        <v>63623.519999999997</v>
      </c>
      <c r="H33" s="33" t="s">
        <v>57</v>
      </c>
      <c r="I33" s="318">
        <v>18</v>
      </c>
      <c r="J33" s="31">
        <v>2400</v>
      </c>
      <c r="K33" s="12">
        <f t="shared" si="1"/>
        <v>133.33333333333334</v>
      </c>
      <c r="L33" s="318">
        <v>18</v>
      </c>
      <c r="M33" s="13">
        <f t="shared" si="24"/>
        <v>2294.9999999999995</v>
      </c>
      <c r="N33" s="12">
        <f t="shared" si="3"/>
        <v>127.49999999999997</v>
      </c>
      <c r="O33" s="14">
        <f t="shared" si="4"/>
        <v>0</v>
      </c>
      <c r="P33" s="15">
        <f t="shared" si="5"/>
        <v>-5.8333333333333712</v>
      </c>
      <c r="Q33" s="312">
        <f t="shared" si="6"/>
        <v>0.95624999999999971</v>
      </c>
      <c r="R33" s="615"/>
      <c r="S33" s="34">
        <v>0.38124999999999998</v>
      </c>
      <c r="T33" s="34">
        <v>0.42569444444444443</v>
      </c>
      <c r="U33" s="309">
        <f t="shared" si="26"/>
        <v>6.9999999999999751</v>
      </c>
      <c r="V33" s="319">
        <f t="shared" si="25"/>
        <v>64.000000000000014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-105.00000000000045</v>
      </c>
      <c r="AF33" s="312">
        <f t="shared" si="9"/>
        <v>0.95624999999999982</v>
      </c>
      <c r="AG33" s="615"/>
    </row>
    <row r="34" spans="1:33" ht="15.75" customHeight="1">
      <c r="A34" s="641" t="s">
        <v>10</v>
      </c>
      <c r="B34" s="29" t="s">
        <v>32</v>
      </c>
      <c r="C34" s="640" t="s">
        <v>35</v>
      </c>
      <c r="D34" s="640"/>
      <c r="E34" s="29">
        <v>25.99</v>
      </c>
      <c r="F34" s="320">
        <v>4353</v>
      </c>
      <c r="G34" s="309">
        <f t="shared" si="23"/>
        <v>113134.46999999999</v>
      </c>
      <c r="H34" s="33" t="s">
        <v>57</v>
      </c>
      <c r="I34" s="318">
        <v>14</v>
      </c>
      <c r="J34" s="31">
        <v>2400</v>
      </c>
      <c r="K34" s="12">
        <f t="shared" si="1"/>
        <v>171.42857142857142</v>
      </c>
      <c r="L34" s="318">
        <v>14</v>
      </c>
      <c r="M34" s="13">
        <f t="shared" si="24"/>
        <v>2291.0526315789471</v>
      </c>
      <c r="N34" s="12">
        <f t="shared" si="3"/>
        <v>163.64661654135335</v>
      </c>
      <c r="O34" s="14">
        <f t="shared" si="4"/>
        <v>0</v>
      </c>
      <c r="P34" s="15">
        <f t="shared" si="5"/>
        <v>-7.7819548872180633</v>
      </c>
      <c r="Q34" s="312">
        <f t="shared" si="6"/>
        <v>0.95460526315789462</v>
      </c>
      <c r="R34" s="615"/>
      <c r="S34" s="34">
        <v>0.43055555555555552</v>
      </c>
      <c r="T34" s="34">
        <v>0.50972222222222219</v>
      </c>
      <c r="U34" s="309">
        <f t="shared" si="26"/>
        <v>6.9999999999999751</v>
      </c>
      <c r="V34" s="319">
        <f t="shared" si="25"/>
        <v>114</v>
      </c>
      <c r="W34" s="16">
        <f>T34</f>
        <v>0.50972222222222219</v>
      </c>
      <c r="X34" s="16">
        <f>S35</f>
        <v>0.55069444444444438</v>
      </c>
      <c r="Y34" s="16"/>
      <c r="Z34" s="16"/>
      <c r="AA34" s="617"/>
      <c r="AB34" s="617"/>
      <c r="AC34" s="35"/>
      <c r="AD34" s="18"/>
      <c r="AE34" s="14">
        <f t="shared" si="8"/>
        <v>-108.94736842105294</v>
      </c>
      <c r="AF34" s="312">
        <f t="shared" si="9"/>
        <v>0.95460526315789462</v>
      </c>
      <c r="AG34" s="615"/>
    </row>
    <row r="35" spans="1:33" ht="15.75" customHeight="1">
      <c r="A35" s="641" t="s">
        <v>10</v>
      </c>
      <c r="B35" s="29" t="s">
        <v>32</v>
      </c>
      <c r="C35" s="640" t="s">
        <v>33</v>
      </c>
      <c r="D35" s="640"/>
      <c r="E35" s="29">
        <v>31.29</v>
      </c>
      <c r="F35" s="320">
        <v>4489</v>
      </c>
      <c r="G35" s="309">
        <f t="shared" si="23"/>
        <v>140460.81</v>
      </c>
      <c r="H35" s="33" t="s">
        <v>57</v>
      </c>
      <c r="I35" s="318">
        <v>18</v>
      </c>
      <c r="J35" s="31">
        <v>2400</v>
      </c>
      <c r="K35" s="12">
        <f t="shared" si="1"/>
        <v>133.33333333333334</v>
      </c>
      <c r="L35" s="318">
        <v>18</v>
      </c>
      <c r="M35" s="13">
        <f t="shared" si="24"/>
        <v>2302.0512820512809</v>
      </c>
      <c r="N35" s="12">
        <f t="shared" si="3"/>
        <v>127.89173789173782</v>
      </c>
      <c r="O35" s="14">
        <f t="shared" si="4"/>
        <v>0</v>
      </c>
      <c r="P35" s="15">
        <f t="shared" si="5"/>
        <v>-5.4415954415955241</v>
      </c>
      <c r="Q35" s="312">
        <f t="shared" si="6"/>
        <v>0.95918803418803356</v>
      </c>
      <c r="R35" s="615"/>
      <c r="S35" s="34">
        <v>0.55069444444444438</v>
      </c>
      <c r="T35" s="34">
        <v>0.63194444444444442</v>
      </c>
      <c r="U35" s="309">
        <f t="shared" si="26"/>
        <v>58.99999999999995</v>
      </c>
      <c r="V35" s="319">
        <f t="shared" si="25"/>
        <v>117.00000000000006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-97.94871794871915</v>
      </c>
      <c r="AF35" s="312">
        <f t="shared" si="9"/>
        <v>0.95918803418803367</v>
      </c>
      <c r="AG35" s="615"/>
    </row>
    <row r="36" spans="1:33" ht="15.75" customHeight="1">
      <c r="A36" s="641" t="s">
        <v>10</v>
      </c>
      <c r="B36" s="29" t="s">
        <v>32</v>
      </c>
      <c r="C36" s="640" t="s">
        <v>34</v>
      </c>
      <c r="D36" s="640"/>
      <c r="E36" s="29">
        <v>26.37</v>
      </c>
      <c r="F36" s="320">
        <v>2905</v>
      </c>
      <c r="G36" s="309">
        <f t="shared" si="23"/>
        <v>76604.850000000006</v>
      </c>
      <c r="H36" s="33" t="s">
        <v>57</v>
      </c>
      <c r="I36" s="318">
        <v>18</v>
      </c>
      <c r="J36" s="31">
        <v>2400</v>
      </c>
      <c r="K36" s="12">
        <f t="shared" si="1"/>
        <v>133.33333333333334</v>
      </c>
      <c r="L36" s="318">
        <v>18</v>
      </c>
      <c r="M36" s="13">
        <f t="shared" si="24"/>
        <v>2293.4210526315774</v>
      </c>
      <c r="N36" s="12">
        <f t="shared" si="3"/>
        <v>127.4122807017543</v>
      </c>
      <c r="O36" s="14">
        <f t="shared" si="4"/>
        <v>0</v>
      </c>
      <c r="P36" s="15">
        <f t="shared" si="5"/>
        <v>-5.9210526315790446</v>
      </c>
      <c r="Q36" s="312">
        <f t="shared" si="6"/>
        <v>0.95559210526315719</v>
      </c>
      <c r="R36" s="615"/>
      <c r="S36" s="34">
        <v>0.63749999999999996</v>
      </c>
      <c r="T36" s="34">
        <v>0.69027777777777777</v>
      </c>
      <c r="U36" s="309">
        <f t="shared" si="26"/>
        <v>7.9999999999999716</v>
      </c>
      <c r="V36" s="319">
        <f t="shared" si="25"/>
        <v>76.000000000000057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-106.57894736842263</v>
      </c>
      <c r="AF36" s="312">
        <f t="shared" si="9"/>
        <v>0.95559210526315719</v>
      </c>
      <c r="AG36" s="615"/>
    </row>
    <row r="37" spans="1:33" ht="15.75" customHeight="1">
      <c r="A37" s="641" t="s">
        <v>10</v>
      </c>
      <c r="B37" s="29" t="s">
        <v>32</v>
      </c>
      <c r="C37" s="322" t="s">
        <v>76</v>
      </c>
      <c r="D37" s="323"/>
      <c r="E37" s="29">
        <v>26.18</v>
      </c>
      <c r="F37" s="320">
        <v>3570</v>
      </c>
      <c r="G37" s="309">
        <f t="shared" si="23"/>
        <v>93462.6</v>
      </c>
      <c r="H37" s="33" t="s">
        <v>57</v>
      </c>
      <c r="I37" s="318">
        <v>18</v>
      </c>
      <c r="J37" s="31">
        <v>2400</v>
      </c>
      <c r="K37" s="12">
        <f t="shared" si="1"/>
        <v>133.33333333333334</v>
      </c>
      <c r="L37" s="318">
        <v>18</v>
      </c>
      <c r="M37" s="13">
        <f t="shared" si="24"/>
        <v>2303.2258064516132</v>
      </c>
      <c r="N37" s="12">
        <f t="shared" si="3"/>
        <v>127.95698924731184</v>
      </c>
      <c r="O37" s="14">
        <f t="shared" si="4"/>
        <v>0</v>
      </c>
      <c r="P37" s="15">
        <f t="shared" si="5"/>
        <v>-5.3763440860215042</v>
      </c>
      <c r="Q37" s="312">
        <f t="shared" si="6"/>
        <v>0.95967741935483875</v>
      </c>
      <c r="R37" s="615"/>
      <c r="S37" s="34">
        <v>0.69374999999999998</v>
      </c>
      <c r="T37" s="34">
        <v>0.7583333333333333</v>
      </c>
      <c r="U37" s="309">
        <f t="shared" si="26"/>
        <v>4.9999999999999822</v>
      </c>
      <c r="V37" s="319">
        <f t="shared" si="25"/>
        <v>92.999999999999986</v>
      </c>
      <c r="W37" s="16"/>
      <c r="X37" s="16"/>
      <c r="Y37" s="16"/>
      <c r="Z37" s="16"/>
      <c r="AA37" s="316"/>
      <c r="AB37" s="317"/>
      <c r="AC37" s="35"/>
      <c r="AD37" s="18"/>
      <c r="AE37" s="14">
        <f t="shared" si="8"/>
        <v>-96.774193548386847</v>
      </c>
      <c r="AF37" s="312">
        <f t="shared" si="9"/>
        <v>0.95967741935483886</v>
      </c>
      <c r="AG37" s="615"/>
    </row>
    <row r="38" spans="1:33" ht="15.75" customHeight="1">
      <c r="A38" s="641" t="s">
        <v>10</v>
      </c>
      <c r="B38" s="29" t="s">
        <v>175</v>
      </c>
      <c r="C38" s="618"/>
      <c r="D38" s="618"/>
      <c r="E38" s="313"/>
      <c r="F38" s="320"/>
      <c r="G38" s="309"/>
      <c r="H38" s="320"/>
      <c r="I38" s="23">
        <v>17.5</v>
      </c>
      <c r="J38" s="31">
        <v>2400</v>
      </c>
      <c r="K38" s="12">
        <f t="shared" si="1"/>
        <v>137.14285714285714</v>
      </c>
      <c r="L38" s="23">
        <v>17.5</v>
      </c>
      <c r="M38" s="13">
        <f>AVERAGE(M30:M37)</f>
        <v>2293.6466218394048</v>
      </c>
      <c r="N38" s="12">
        <f t="shared" si="3"/>
        <v>131.06552124796599</v>
      </c>
      <c r="O38" s="14">
        <f t="shared" si="4"/>
        <v>0</v>
      </c>
      <c r="P38" s="15">
        <f t="shared" si="5"/>
        <v>-6.0773358948911493</v>
      </c>
      <c r="Q38" s="312">
        <f t="shared" si="6"/>
        <v>0.95568609243308533</v>
      </c>
      <c r="R38" s="615"/>
      <c r="S38" s="34"/>
      <c r="T38" s="34"/>
      <c r="U38" s="309"/>
      <c r="V38" s="319"/>
      <c r="W38" s="309"/>
      <c r="X38" s="309"/>
      <c r="Y38" s="24">
        <f>SUM(Y30:Y37)</f>
        <v>0</v>
      </c>
      <c r="Z38" s="24">
        <f>SUM(Z30:Z37)</f>
        <v>0</v>
      </c>
      <c r="AA38" s="614"/>
      <c r="AB38" s="614"/>
      <c r="AC38" s="24">
        <v>8</v>
      </c>
      <c r="AD38" s="24">
        <f>SUM(AD30:AD37)</f>
        <v>0</v>
      </c>
      <c r="AE38" s="14">
        <f t="shared" si="8"/>
        <v>-106.35337816059518</v>
      </c>
      <c r="AF38" s="312">
        <f t="shared" si="9"/>
        <v>0.95568609243308533</v>
      </c>
      <c r="AG38" s="615"/>
    </row>
    <row r="39" spans="1:33" ht="15.75" customHeight="1">
      <c r="A39" s="638" t="s">
        <v>11</v>
      </c>
      <c r="B39" s="29" t="s">
        <v>32</v>
      </c>
      <c r="C39" s="616" t="s">
        <v>77</v>
      </c>
      <c r="D39" s="616"/>
      <c r="E39" s="29">
        <v>26.18</v>
      </c>
      <c r="F39" s="320">
        <v>3700</v>
      </c>
      <c r="G39" s="309">
        <f t="shared" ref="G39:G46" si="27">E39*F39</f>
        <v>96866</v>
      </c>
      <c r="H39" s="33">
        <v>2</v>
      </c>
      <c r="I39" s="318">
        <v>20</v>
      </c>
      <c r="J39" s="31">
        <v>2400</v>
      </c>
      <c r="K39" s="12">
        <f t="shared" si="1"/>
        <v>120</v>
      </c>
      <c r="L39" s="318">
        <v>20</v>
      </c>
      <c r="M39" s="13">
        <f t="shared" ref="M39:M46" si="28">F39/V39*60</f>
        <v>2288.6597938144328</v>
      </c>
      <c r="N39" s="12">
        <f t="shared" si="3"/>
        <v>114.43298969072164</v>
      </c>
      <c r="O39" s="14">
        <f t="shared" si="4"/>
        <v>0</v>
      </c>
      <c r="P39" s="15">
        <f t="shared" si="5"/>
        <v>-5.5670103092783592</v>
      </c>
      <c r="Q39" s="312">
        <f t="shared" si="6"/>
        <v>0.95360824742268036</v>
      </c>
      <c r="R39" s="615">
        <f>Q47</f>
        <v>0.95591006511369725</v>
      </c>
      <c r="S39" s="34">
        <v>8.3333333333333329E-2</v>
      </c>
      <c r="T39" s="34">
        <v>0.15069444444444444</v>
      </c>
      <c r="U39" s="309"/>
      <c r="V39" s="319">
        <f t="shared" ref="V39:V46" si="29">(T39-S39)*24*60</f>
        <v>97</v>
      </c>
      <c r="W39" s="21">
        <f>T39</f>
        <v>0.15069444444444444</v>
      </c>
      <c r="X39" s="21">
        <f>S40</f>
        <v>0.17222222222222222</v>
      </c>
      <c r="Y39" s="21"/>
      <c r="Z39" s="21"/>
      <c r="AA39" s="617"/>
      <c r="AB39" s="617"/>
      <c r="AC39" s="35">
        <v>8</v>
      </c>
      <c r="AD39" s="18"/>
      <c r="AE39" s="14">
        <f t="shared" si="8"/>
        <v>-111.34020618556724</v>
      </c>
      <c r="AF39" s="312">
        <f t="shared" si="9"/>
        <v>0.95360824742268036</v>
      </c>
      <c r="AG39" s="615">
        <f>AF47</f>
        <v>0.95591006511369725</v>
      </c>
    </row>
    <row r="40" spans="1:33" ht="15.75" customHeight="1">
      <c r="A40" s="638" t="s">
        <v>11</v>
      </c>
      <c r="B40" s="29" t="s">
        <v>32</v>
      </c>
      <c r="C40" s="616" t="s">
        <v>37</v>
      </c>
      <c r="D40" s="616"/>
      <c r="E40" s="29">
        <v>24.43</v>
      </c>
      <c r="F40" s="320">
        <v>4100</v>
      </c>
      <c r="G40" s="309">
        <f t="shared" si="27"/>
        <v>100163</v>
      </c>
      <c r="H40" s="33">
        <v>2</v>
      </c>
      <c r="I40" s="318">
        <v>14</v>
      </c>
      <c r="J40" s="31">
        <v>2400</v>
      </c>
      <c r="K40" s="12">
        <f t="shared" si="1"/>
        <v>171.42857142857142</v>
      </c>
      <c r="L40" s="318">
        <v>14</v>
      </c>
      <c r="M40" s="13">
        <f t="shared" si="28"/>
        <v>2299.0654205607475</v>
      </c>
      <c r="N40" s="12">
        <f t="shared" si="3"/>
        <v>164.21895861148195</v>
      </c>
      <c r="O40" s="14">
        <f t="shared" si="4"/>
        <v>0</v>
      </c>
      <c r="P40" s="15">
        <f t="shared" si="5"/>
        <v>-7.2096128170894644</v>
      </c>
      <c r="Q40" s="312">
        <f t="shared" si="6"/>
        <v>0.9579439252336448</v>
      </c>
      <c r="R40" s="615"/>
      <c r="S40" s="34">
        <v>0.17222222222222222</v>
      </c>
      <c r="T40" s="34">
        <v>0.24652777777777779</v>
      </c>
      <c r="U40" s="309">
        <f t="shared" ref="U40:U46" si="30">(S40-T39)*24*60</f>
        <v>31.000000000000011</v>
      </c>
      <c r="V40" s="319">
        <f t="shared" si="29"/>
        <v>107.00000000000001</v>
      </c>
      <c r="W40" s="309"/>
      <c r="X40" s="309"/>
      <c r="Y40" s="309"/>
      <c r="Z40" s="309"/>
      <c r="AA40" s="617"/>
      <c r="AB40" s="617"/>
      <c r="AC40" s="35"/>
      <c r="AD40" s="18"/>
      <c r="AE40" s="14">
        <f t="shared" si="8"/>
        <v>-100.9345794392525</v>
      </c>
      <c r="AF40" s="312">
        <f t="shared" si="9"/>
        <v>0.9579439252336448</v>
      </c>
      <c r="AG40" s="615"/>
    </row>
    <row r="41" spans="1:33">
      <c r="A41" s="639" t="s">
        <v>11</v>
      </c>
      <c r="B41" s="29" t="s">
        <v>32</v>
      </c>
      <c r="C41" s="616" t="s">
        <v>38</v>
      </c>
      <c r="D41" s="616"/>
      <c r="E41" s="29">
        <v>25.98</v>
      </c>
      <c r="F41" s="320">
        <v>3374</v>
      </c>
      <c r="G41" s="309">
        <f t="shared" si="27"/>
        <v>87656.52</v>
      </c>
      <c r="H41" s="33" t="s">
        <v>57</v>
      </c>
      <c r="I41" s="318">
        <v>21</v>
      </c>
      <c r="J41" s="31">
        <v>2400</v>
      </c>
      <c r="K41" s="12">
        <f t="shared" si="1"/>
        <v>114.28571428571429</v>
      </c>
      <c r="L41" s="318">
        <v>21</v>
      </c>
      <c r="M41" s="13">
        <f t="shared" si="28"/>
        <v>2300.4545454545455</v>
      </c>
      <c r="N41" s="12">
        <f t="shared" si="3"/>
        <v>109.54545454545455</v>
      </c>
      <c r="O41" s="14">
        <f t="shared" si="4"/>
        <v>0</v>
      </c>
      <c r="P41" s="15">
        <f t="shared" si="5"/>
        <v>-4.7402597402597451</v>
      </c>
      <c r="Q41" s="312">
        <f t="shared" si="6"/>
        <v>0.95852272727272725</v>
      </c>
      <c r="R41" s="615"/>
      <c r="S41" s="34">
        <v>0.25069444444444444</v>
      </c>
      <c r="T41" s="34">
        <v>0.31180555555555556</v>
      </c>
      <c r="U41" s="309">
        <f t="shared" si="30"/>
        <v>5.9999999999999787</v>
      </c>
      <c r="V41" s="319">
        <f t="shared" si="29"/>
        <v>88</v>
      </c>
      <c r="W41" s="309"/>
      <c r="X41" s="309"/>
      <c r="Y41" s="309"/>
      <c r="Z41" s="309"/>
      <c r="AA41" s="617"/>
      <c r="AB41" s="617"/>
      <c r="AC41" s="35"/>
      <c r="AD41" s="18"/>
      <c r="AE41" s="14">
        <f t="shared" si="8"/>
        <v>-99.545454545454504</v>
      </c>
      <c r="AF41" s="312">
        <f t="shared" si="9"/>
        <v>0.95852272727272725</v>
      </c>
      <c r="AG41" s="615"/>
    </row>
    <row r="42" spans="1:33">
      <c r="A42" s="639" t="s">
        <v>11</v>
      </c>
      <c r="B42" s="29" t="s">
        <v>32</v>
      </c>
      <c r="C42" s="616" t="s">
        <v>39</v>
      </c>
      <c r="D42" s="616"/>
      <c r="E42" s="29">
        <v>34.1</v>
      </c>
      <c r="F42" s="320">
        <v>3800</v>
      </c>
      <c r="G42" s="309">
        <f t="shared" si="27"/>
        <v>129580</v>
      </c>
      <c r="H42" s="33">
        <v>2</v>
      </c>
      <c r="I42" s="318">
        <v>17</v>
      </c>
      <c r="J42" s="31">
        <v>1600</v>
      </c>
      <c r="K42" s="12">
        <f t="shared" si="1"/>
        <v>94.117647058823536</v>
      </c>
      <c r="L42" s="318">
        <v>17</v>
      </c>
      <c r="M42" s="13">
        <f t="shared" si="28"/>
        <v>1530.2013422818789</v>
      </c>
      <c r="N42" s="12">
        <f t="shared" si="3"/>
        <v>90.011843663639937</v>
      </c>
      <c r="O42" s="14">
        <f t="shared" si="4"/>
        <v>0</v>
      </c>
      <c r="P42" s="15">
        <f t="shared" si="5"/>
        <v>-4.1058033951835995</v>
      </c>
      <c r="Q42" s="312">
        <f t="shared" si="6"/>
        <v>0.95637583892617428</v>
      </c>
      <c r="R42" s="615"/>
      <c r="S42" s="34">
        <v>0.31666666666666665</v>
      </c>
      <c r="T42" s="34">
        <v>0.4201388888888889</v>
      </c>
      <c r="U42" s="309">
        <f t="shared" si="30"/>
        <v>6.9999999999999751</v>
      </c>
      <c r="V42" s="319">
        <f t="shared" si="29"/>
        <v>149.00000000000003</v>
      </c>
      <c r="W42" s="16"/>
      <c r="X42" s="16"/>
      <c r="Y42" s="16"/>
      <c r="Z42" s="16"/>
      <c r="AA42" s="617"/>
      <c r="AB42" s="617"/>
      <c r="AC42" s="35"/>
      <c r="AD42" s="18"/>
      <c r="AE42" s="14">
        <f t="shared" si="8"/>
        <v>-69.798657718121149</v>
      </c>
      <c r="AF42" s="312">
        <f t="shared" si="9"/>
        <v>0.95637583892617428</v>
      </c>
      <c r="AG42" s="615"/>
    </row>
    <row r="43" spans="1:33">
      <c r="A43" s="639" t="s">
        <v>11</v>
      </c>
      <c r="B43" s="29" t="s">
        <v>32</v>
      </c>
      <c r="C43" s="616" t="s">
        <v>84</v>
      </c>
      <c r="D43" s="616"/>
      <c r="E43" s="29">
        <v>20.21</v>
      </c>
      <c r="F43" s="320">
        <v>4241</v>
      </c>
      <c r="G43" s="309">
        <f t="shared" si="27"/>
        <v>85710.61</v>
      </c>
      <c r="H43" s="33" t="s">
        <v>57</v>
      </c>
      <c r="I43" s="318">
        <v>18</v>
      </c>
      <c r="J43" s="31">
        <v>2400</v>
      </c>
      <c r="K43" s="12">
        <f t="shared" si="1"/>
        <v>133.33333333333334</v>
      </c>
      <c r="L43" s="318">
        <v>18</v>
      </c>
      <c r="M43" s="13">
        <f t="shared" si="28"/>
        <v>2292.4324324324325</v>
      </c>
      <c r="N43" s="12">
        <f t="shared" si="3"/>
        <v>127.35735735735736</v>
      </c>
      <c r="O43" s="14">
        <f t="shared" si="4"/>
        <v>0</v>
      </c>
      <c r="P43" s="15">
        <f t="shared" si="5"/>
        <v>-5.9759759759759845</v>
      </c>
      <c r="Q43" s="312">
        <f t="shared" si="6"/>
        <v>0.95518018018018014</v>
      </c>
      <c r="R43" s="615"/>
      <c r="S43" s="34">
        <v>0.4236111111111111</v>
      </c>
      <c r="T43" s="34">
        <v>0.50069444444444444</v>
      </c>
      <c r="U43" s="309">
        <f t="shared" si="30"/>
        <v>4.9999999999999822</v>
      </c>
      <c r="V43" s="319">
        <f t="shared" si="29"/>
        <v>111</v>
      </c>
      <c r="W43" s="16">
        <f>T43</f>
        <v>0.50069444444444444</v>
      </c>
      <c r="X43" s="16">
        <f>S44</f>
        <v>0.54236111111111107</v>
      </c>
      <c r="Y43" s="16"/>
      <c r="Z43" s="16"/>
      <c r="AA43" s="617"/>
      <c r="AB43" s="617"/>
      <c r="AC43" s="35"/>
      <c r="AD43" s="18"/>
      <c r="AE43" s="14">
        <f t="shared" si="8"/>
        <v>-107.56756756756749</v>
      </c>
      <c r="AF43" s="312">
        <f t="shared" si="9"/>
        <v>0.95518018018018025</v>
      </c>
      <c r="AG43" s="615"/>
    </row>
    <row r="44" spans="1:33">
      <c r="A44" s="639" t="s">
        <v>11</v>
      </c>
      <c r="B44" s="29" t="s">
        <v>32</v>
      </c>
      <c r="C44" s="616" t="s">
        <v>39</v>
      </c>
      <c r="D44" s="616"/>
      <c r="E44" s="29">
        <v>34.1</v>
      </c>
      <c r="F44" s="320">
        <v>3055</v>
      </c>
      <c r="G44" s="309">
        <f t="shared" si="27"/>
        <v>104175.5</v>
      </c>
      <c r="H44" s="33" t="s">
        <v>57</v>
      </c>
      <c r="I44" s="318">
        <v>17</v>
      </c>
      <c r="J44" s="31">
        <v>1600</v>
      </c>
      <c r="K44" s="12">
        <f t="shared" si="1"/>
        <v>94.117647058823536</v>
      </c>
      <c r="L44" s="318">
        <v>17</v>
      </c>
      <c r="M44" s="13">
        <f t="shared" si="28"/>
        <v>1527.4999999999993</v>
      </c>
      <c r="N44" s="12">
        <f t="shared" si="3"/>
        <v>89.852941176470551</v>
      </c>
      <c r="O44" s="14">
        <f t="shared" si="4"/>
        <v>0</v>
      </c>
      <c r="P44" s="15">
        <f t="shared" si="5"/>
        <v>-4.2647058823529846</v>
      </c>
      <c r="Q44" s="312">
        <f t="shared" si="6"/>
        <v>0.95468749999999958</v>
      </c>
      <c r="R44" s="615"/>
      <c r="S44" s="34">
        <v>0.54236111111111107</v>
      </c>
      <c r="T44" s="34">
        <v>0.62569444444444444</v>
      </c>
      <c r="U44" s="309">
        <f t="shared" si="30"/>
        <v>59.999999999999943</v>
      </c>
      <c r="V44" s="319">
        <f t="shared" si="29"/>
        <v>120.00000000000006</v>
      </c>
      <c r="W44" s="16"/>
      <c r="X44" s="16"/>
      <c r="Y44" s="16"/>
      <c r="Z44" s="16"/>
      <c r="AA44" s="617"/>
      <c r="AB44" s="617"/>
      <c r="AC44" s="35"/>
      <c r="AD44" s="18"/>
      <c r="AE44" s="14">
        <f t="shared" si="8"/>
        <v>-72.500000000000682</v>
      </c>
      <c r="AF44" s="312">
        <f t="shared" si="9"/>
        <v>0.95468749999999958</v>
      </c>
      <c r="AG44" s="615"/>
    </row>
    <row r="45" spans="1:33">
      <c r="A45" s="639" t="s">
        <v>11</v>
      </c>
      <c r="B45" s="29" t="s">
        <v>32</v>
      </c>
      <c r="C45" s="616" t="s">
        <v>77</v>
      </c>
      <c r="D45" s="616"/>
      <c r="E45" s="29">
        <v>26.18</v>
      </c>
      <c r="F45" s="320">
        <v>2792</v>
      </c>
      <c r="G45" s="309">
        <f t="shared" si="27"/>
        <v>73094.559999999998</v>
      </c>
      <c r="H45" s="33" t="s">
        <v>57</v>
      </c>
      <c r="I45" s="318">
        <v>20</v>
      </c>
      <c r="J45" s="31">
        <v>2400</v>
      </c>
      <c r="K45" s="12">
        <f t="shared" si="1"/>
        <v>120</v>
      </c>
      <c r="L45" s="318">
        <v>20</v>
      </c>
      <c r="M45" s="13">
        <f t="shared" si="28"/>
        <v>2294.7945205479436</v>
      </c>
      <c r="N45" s="12">
        <f t="shared" si="3"/>
        <v>114.73972602739718</v>
      </c>
      <c r="O45" s="14">
        <f t="shared" si="4"/>
        <v>0</v>
      </c>
      <c r="P45" s="15">
        <f t="shared" si="5"/>
        <v>-5.2602739726028176</v>
      </c>
      <c r="Q45" s="312">
        <f t="shared" si="6"/>
        <v>0.95616438356164324</v>
      </c>
      <c r="R45" s="615"/>
      <c r="S45" s="34">
        <v>0.62916666666666665</v>
      </c>
      <c r="T45" s="34">
        <v>0.67986111111111114</v>
      </c>
      <c r="U45" s="309">
        <f t="shared" si="30"/>
        <v>4.9999999999999822</v>
      </c>
      <c r="V45" s="319">
        <f t="shared" si="29"/>
        <v>73.000000000000057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-105.20547945205635</v>
      </c>
      <c r="AF45" s="312">
        <f t="shared" si="9"/>
        <v>0.95616438356164324</v>
      </c>
      <c r="AG45" s="615"/>
    </row>
    <row r="46" spans="1:33">
      <c r="A46" s="639" t="s">
        <v>11</v>
      </c>
      <c r="B46" s="29" t="s">
        <v>32</v>
      </c>
      <c r="C46" s="616" t="s">
        <v>37</v>
      </c>
      <c r="D46" s="616"/>
      <c r="E46" s="29">
        <v>24.43</v>
      </c>
      <c r="F46" s="320">
        <v>3360</v>
      </c>
      <c r="G46" s="309">
        <f t="shared" si="27"/>
        <v>82084.800000000003</v>
      </c>
      <c r="H46" s="33" t="s">
        <v>57</v>
      </c>
      <c r="I46" s="318">
        <v>14</v>
      </c>
      <c r="J46" s="31">
        <v>2400</v>
      </c>
      <c r="K46" s="12">
        <f t="shared" si="1"/>
        <v>171.42857142857142</v>
      </c>
      <c r="L46" s="318">
        <v>14</v>
      </c>
      <c r="M46" s="13">
        <f t="shared" si="28"/>
        <v>2290.909090909091</v>
      </c>
      <c r="N46" s="12">
        <f t="shared" si="3"/>
        <v>163.63636363636365</v>
      </c>
      <c r="O46" s="14">
        <f t="shared" si="4"/>
        <v>0</v>
      </c>
      <c r="P46" s="15">
        <f t="shared" si="5"/>
        <v>-7.7922077922077619</v>
      </c>
      <c r="Q46" s="312">
        <f t="shared" si="6"/>
        <v>0.9545454545454547</v>
      </c>
      <c r="R46" s="615"/>
      <c r="S46" s="34">
        <v>0.68333333333333335</v>
      </c>
      <c r="T46" s="34">
        <v>0.74444444444444446</v>
      </c>
      <c r="U46" s="309">
        <f t="shared" si="30"/>
        <v>4.9999999999999822</v>
      </c>
      <c r="V46" s="319">
        <f t="shared" si="29"/>
        <v>88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-109.09090909090901</v>
      </c>
      <c r="AF46" s="312">
        <f t="shared" si="9"/>
        <v>0.95454545454545459</v>
      </c>
      <c r="AG46" s="615"/>
    </row>
    <row r="47" spans="1:33">
      <c r="A47" s="639" t="s">
        <v>11</v>
      </c>
      <c r="B47" s="30" t="s">
        <v>175</v>
      </c>
      <c r="C47" s="618"/>
      <c r="D47" s="618"/>
      <c r="E47" s="313"/>
      <c r="F47" s="30"/>
      <c r="G47" s="12"/>
      <c r="H47" s="320"/>
      <c r="I47" s="23">
        <v>17.625</v>
      </c>
      <c r="J47" s="31">
        <v>2200</v>
      </c>
      <c r="K47" s="12">
        <f t="shared" si="1"/>
        <v>124.822695035461</v>
      </c>
      <c r="L47" s="23">
        <v>17.625</v>
      </c>
      <c r="M47" s="13">
        <f>AVERAGE(M39:M46)</f>
        <v>2103.0021432501339</v>
      </c>
      <c r="N47" s="12">
        <f t="shared" si="3"/>
        <v>119.3192705390147</v>
      </c>
      <c r="O47" s="14">
        <f t="shared" si="4"/>
        <v>0</v>
      </c>
      <c r="P47" s="15">
        <f t="shared" si="5"/>
        <v>-5.5034244964462999</v>
      </c>
      <c r="Q47" s="312">
        <f t="shared" si="6"/>
        <v>0.95591006511369725</v>
      </c>
      <c r="R47" s="615"/>
      <c r="S47" s="34"/>
      <c r="T47" s="34"/>
      <c r="U47" s="12"/>
      <c r="V47" s="319"/>
      <c r="W47" s="12"/>
      <c r="X47" s="12"/>
      <c r="Y47" s="24">
        <f>SUM(Y39:Y46)</f>
        <v>0</v>
      </c>
      <c r="Z47" s="24">
        <f>SUM(Z39:Z46)</f>
        <v>0</v>
      </c>
      <c r="AA47" s="614"/>
      <c r="AB47" s="614"/>
      <c r="AC47" s="24">
        <v>8</v>
      </c>
      <c r="AD47" s="24">
        <f>SUM(AD39:AD46)</f>
        <v>0</v>
      </c>
      <c r="AE47" s="14">
        <f t="shared" si="8"/>
        <v>-96.99785674986606</v>
      </c>
      <c r="AF47" s="312">
        <f t="shared" si="9"/>
        <v>0.95591006511369725</v>
      </c>
      <c r="AG47" s="615"/>
    </row>
    <row r="48" spans="1:33" ht="15.75" customHeight="1">
      <c r="A48" s="632" t="s">
        <v>180</v>
      </c>
      <c r="B48" s="29" t="s">
        <v>40</v>
      </c>
      <c r="C48" s="622" t="s">
        <v>41</v>
      </c>
      <c r="D48" s="623"/>
      <c r="E48" s="29">
        <v>37.880000000000003</v>
      </c>
      <c r="F48" s="320">
        <v>864</v>
      </c>
      <c r="G48" s="309">
        <f t="shared" ref="G48:G51" si="31">E48*F48</f>
        <v>32728.320000000003</v>
      </c>
      <c r="H48" s="33" t="s">
        <v>57</v>
      </c>
      <c r="I48" s="318">
        <v>13</v>
      </c>
      <c r="J48" s="31">
        <v>2000</v>
      </c>
      <c r="K48" s="12">
        <f t="shared" si="1"/>
        <v>153.84615384615384</v>
      </c>
      <c r="L48" s="318">
        <v>13</v>
      </c>
      <c r="M48" s="13">
        <f t="shared" ref="M48:M51" si="32">F48/V48*60</f>
        <v>1919.9999999999998</v>
      </c>
      <c r="N48" s="13">
        <f t="shared" si="3"/>
        <v>147.69230769230768</v>
      </c>
      <c r="O48" s="14">
        <f t="shared" si="4"/>
        <v>0</v>
      </c>
      <c r="P48" s="15">
        <f t="shared" si="5"/>
        <v>-6.1538461538461604</v>
      </c>
      <c r="Q48" s="312">
        <f t="shared" si="6"/>
        <v>0.96</v>
      </c>
      <c r="R48" s="635">
        <f>Q52</f>
        <v>0.95404905358571046</v>
      </c>
      <c r="S48" s="34">
        <v>8.3333333333333329E-2</v>
      </c>
      <c r="T48" s="34">
        <v>0.10208333333333333</v>
      </c>
      <c r="U48" s="21"/>
      <c r="V48" s="319">
        <f t="shared" ref="V48:V51" si="33">(T48-S48)*24*60</f>
        <v>27.000000000000004</v>
      </c>
      <c r="W48" s="16">
        <f>T48</f>
        <v>0.10208333333333333</v>
      </c>
      <c r="X48" s="16">
        <f>S49</f>
        <v>0.12013888888888889</v>
      </c>
      <c r="Y48" s="19"/>
      <c r="Z48" s="19"/>
      <c r="AA48" s="624"/>
      <c r="AB48" s="625"/>
      <c r="AC48" s="35">
        <v>4</v>
      </c>
      <c r="AD48" s="18"/>
      <c r="AE48" s="14">
        <f t="shared" si="8"/>
        <v>-80.000000000000227</v>
      </c>
      <c r="AF48" s="312">
        <f t="shared" si="9"/>
        <v>0.95999999999999985</v>
      </c>
      <c r="AG48" s="635">
        <f>AF52</f>
        <v>0.95404905358571046</v>
      </c>
    </row>
    <row r="49" spans="1:33" ht="15.75" customHeight="1">
      <c r="A49" s="633" t="s">
        <v>180</v>
      </c>
      <c r="B49" s="29" t="s">
        <v>40</v>
      </c>
      <c r="C49" s="622" t="s">
        <v>42</v>
      </c>
      <c r="D49" s="623"/>
      <c r="E49" s="29">
        <v>35.119999999999997</v>
      </c>
      <c r="F49" s="320">
        <v>6273</v>
      </c>
      <c r="G49" s="309">
        <f t="shared" si="31"/>
        <v>220307.75999999998</v>
      </c>
      <c r="H49" s="33" t="s">
        <v>57</v>
      </c>
      <c r="I49" s="318">
        <v>10</v>
      </c>
      <c r="J49" s="31">
        <v>3000</v>
      </c>
      <c r="K49" s="12">
        <f t="shared" si="1"/>
        <v>300</v>
      </c>
      <c r="L49" s="318">
        <v>10</v>
      </c>
      <c r="M49" s="13">
        <f t="shared" si="32"/>
        <v>2851.3636363636356</v>
      </c>
      <c r="N49" s="13">
        <f t="shared" si="3"/>
        <v>285.13636363636357</v>
      </c>
      <c r="O49" s="14">
        <f t="shared" si="4"/>
        <v>0</v>
      </c>
      <c r="P49" s="15">
        <f t="shared" si="5"/>
        <v>-14.863636363636431</v>
      </c>
      <c r="Q49" s="312">
        <f t="shared" si="6"/>
        <v>0.95045454545454522</v>
      </c>
      <c r="R49" s="636"/>
      <c r="S49" s="34">
        <v>0.12013888888888889</v>
      </c>
      <c r="T49" s="34">
        <v>0.21180555555555558</v>
      </c>
      <c r="U49" s="309">
        <f t="shared" ref="U49:U51" si="34">(S49-T48)*24*60</f>
        <v>26.000000000000007</v>
      </c>
      <c r="V49" s="319">
        <f t="shared" si="33"/>
        <v>132.00000000000003</v>
      </c>
      <c r="W49" s="16"/>
      <c r="X49" s="16"/>
      <c r="Y49" s="19"/>
      <c r="Z49" s="19"/>
      <c r="AA49" s="624"/>
      <c r="AB49" s="625"/>
      <c r="AC49" s="35"/>
      <c r="AD49" s="18"/>
      <c r="AE49" s="14">
        <f t="shared" si="8"/>
        <v>-148.63636363636442</v>
      </c>
      <c r="AF49" s="312">
        <f t="shared" si="9"/>
        <v>0.95045454545454522</v>
      </c>
      <c r="AG49" s="636"/>
    </row>
    <row r="50" spans="1:33" ht="15.75" customHeight="1">
      <c r="A50" s="633" t="s">
        <v>180</v>
      </c>
      <c r="B50" s="29" t="s">
        <v>40</v>
      </c>
      <c r="C50" s="622" t="s">
        <v>43</v>
      </c>
      <c r="D50" s="623"/>
      <c r="E50" s="29">
        <v>21.13</v>
      </c>
      <c r="F50" s="320">
        <v>5927</v>
      </c>
      <c r="G50" s="309">
        <f t="shared" si="31"/>
        <v>125237.51</v>
      </c>
      <c r="H50" s="33" t="s">
        <v>57</v>
      </c>
      <c r="I50" s="318">
        <v>10</v>
      </c>
      <c r="J50" s="31">
        <v>3000</v>
      </c>
      <c r="K50" s="12">
        <f t="shared" si="1"/>
        <v>300</v>
      </c>
      <c r="L50" s="318">
        <v>10</v>
      </c>
      <c r="M50" s="13">
        <f t="shared" si="32"/>
        <v>2867.9032258064522</v>
      </c>
      <c r="N50" s="13">
        <f t="shared" si="3"/>
        <v>286.79032258064524</v>
      </c>
      <c r="O50" s="14">
        <f t="shared" si="4"/>
        <v>0</v>
      </c>
      <c r="P50" s="15">
        <f t="shared" si="5"/>
        <v>-13.209677419354762</v>
      </c>
      <c r="Q50" s="312">
        <f t="shared" si="6"/>
        <v>0.95596774193548417</v>
      </c>
      <c r="R50" s="636"/>
      <c r="S50" s="34">
        <v>0.21597222222222226</v>
      </c>
      <c r="T50" s="34">
        <v>0.30208333333333337</v>
      </c>
      <c r="U50" s="309">
        <f t="shared" si="34"/>
        <v>6.0000000000000187</v>
      </c>
      <c r="V50" s="319">
        <f t="shared" si="33"/>
        <v>123.99999999999999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-132.09677419354784</v>
      </c>
      <c r="AF50" s="312">
        <f t="shared" si="9"/>
        <v>0.95596774193548406</v>
      </c>
      <c r="AG50" s="636"/>
    </row>
    <row r="51" spans="1:33" ht="15.75" customHeight="1">
      <c r="A51" s="633" t="s">
        <v>180</v>
      </c>
      <c r="B51" s="29" t="s">
        <v>40</v>
      </c>
      <c r="C51" s="622" t="s">
        <v>44</v>
      </c>
      <c r="D51" s="623"/>
      <c r="E51" s="29">
        <v>27.17</v>
      </c>
      <c r="F51" s="320">
        <v>7852</v>
      </c>
      <c r="G51" s="309">
        <f t="shared" si="31"/>
        <v>213338.84000000003</v>
      </c>
      <c r="H51" s="33" t="s">
        <v>57</v>
      </c>
      <c r="I51" s="318">
        <v>10</v>
      </c>
      <c r="J51" s="31">
        <v>3000</v>
      </c>
      <c r="K51" s="12">
        <f t="shared" si="1"/>
        <v>300</v>
      </c>
      <c r="L51" s="318">
        <v>10</v>
      </c>
      <c r="M51" s="13">
        <f t="shared" si="32"/>
        <v>2855.2727272727275</v>
      </c>
      <c r="N51" s="13">
        <f t="shared" si="3"/>
        <v>285.52727272727276</v>
      </c>
      <c r="O51" s="14">
        <f t="shared" si="4"/>
        <v>0</v>
      </c>
      <c r="P51" s="15">
        <f t="shared" si="5"/>
        <v>-14.472727272727241</v>
      </c>
      <c r="Q51" s="312">
        <f t="shared" si="6"/>
        <v>0.95175757575757591</v>
      </c>
      <c r="R51" s="636"/>
      <c r="S51" s="34">
        <v>0.30694444444444446</v>
      </c>
      <c r="T51" s="34">
        <v>0.42152777777777778</v>
      </c>
      <c r="U51" s="309">
        <f t="shared" si="34"/>
        <v>6.9999999999999751</v>
      </c>
      <c r="V51" s="319">
        <f t="shared" si="33"/>
        <v>164.99999999999997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-144.72727272727252</v>
      </c>
      <c r="AF51" s="312">
        <f t="shared" si="9"/>
        <v>0.9517575757575758</v>
      </c>
      <c r="AG51" s="636"/>
    </row>
    <row r="52" spans="1:33" ht="15.75" customHeight="1">
      <c r="A52" s="634" t="s">
        <v>180</v>
      </c>
      <c r="B52" s="29" t="s">
        <v>175</v>
      </c>
      <c r="C52" s="612"/>
      <c r="D52" s="613"/>
      <c r="E52" s="310"/>
      <c r="F52" s="320"/>
      <c r="G52" s="309"/>
      <c r="H52" s="320"/>
      <c r="I52" s="23">
        <v>10.75</v>
      </c>
      <c r="J52" s="31">
        <v>2750</v>
      </c>
      <c r="K52" s="12">
        <f t="shared" si="1"/>
        <v>255.81395348837211</v>
      </c>
      <c r="L52" s="23">
        <v>10.75</v>
      </c>
      <c r="M52" s="13">
        <f>AVERAGE(M48:M51)</f>
        <v>2623.6348973607037</v>
      </c>
      <c r="N52" s="12">
        <f t="shared" si="3"/>
        <v>244.05906021960035</v>
      </c>
      <c r="O52" s="14">
        <f t="shared" si="4"/>
        <v>0</v>
      </c>
      <c r="P52" s="15">
        <f t="shared" si="5"/>
        <v>-11.754893268771752</v>
      </c>
      <c r="Q52" s="312">
        <f t="shared" si="6"/>
        <v>0.95404905358571046</v>
      </c>
      <c r="R52" s="637"/>
      <c r="S52" s="34"/>
      <c r="T52" s="34"/>
      <c r="U52" s="309"/>
      <c r="V52" s="319"/>
      <c r="W52" s="16"/>
      <c r="X52" s="16"/>
      <c r="Y52" s="24">
        <f>SUM(Y48:Y51)</f>
        <v>0</v>
      </c>
      <c r="Z52" s="24">
        <f>SUM(Z48:Z51)</f>
        <v>0</v>
      </c>
      <c r="AA52" s="628"/>
      <c r="AB52" s="629"/>
      <c r="AC52" s="24">
        <v>4</v>
      </c>
      <c r="AD52" s="24">
        <f>SUM(AD48:AD51)</f>
        <v>0</v>
      </c>
      <c r="AE52" s="14">
        <f t="shared" si="8"/>
        <v>-126.36510263929631</v>
      </c>
      <c r="AF52" s="312">
        <f t="shared" si="9"/>
        <v>0.95404905358571046</v>
      </c>
      <c r="AG52" s="637"/>
    </row>
    <row r="53" spans="1:33" ht="15.75" customHeight="1">
      <c r="A53" s="630" t="s">
        <v>277</v>
      </c>
      <c r="B53" s="29" t="s">
        <v>15</v>
      </c>
      <c r="C53" s="616" t="s">
        <v>46</v>
      </c>
      <c r="D53" s="616"/>
      <c r="E53" s="29">
        <v>56.43</v>
      </c>
      <c r="F53" s="32">
        <v>1779</v>
      </c>
      <c r="G53" s="309">
        <f t="shared" ref="G53:G60" si="35">E53*F53</f>
        <v>100388.97</v>
      </c>
      <c r="H53" s="33" t="s">
        <v>57</v>
      </c>
      <c r="I53" s="318">
        <v>22</v>
      </c>
      <c r="J53" s="31">
        <v>2000</v>
      </c>
      <c r="K53" s="12">
        <f t="shared" si="1"/>
        <v>90.909090909090907</v>
      </c>
      <c r="L53" s="318">
        <v>22</v>
      </c>
      <c r="M53" s="13">
        <f t="shared" ref="M53" si="36">F53/V53*60</f>
        <v>1906.0714285714284</v>
      </c>
      <c r="N53" s="13">
        <f t="shared" si="3"/>
        <v>86.639610389610382</v>
      </c>
      <c r="O53" s="14">
        <f t="shared" si="4"/>
        <v>0</v>
      </c>
      <c r="P53" s="15">
        <f t="shared" si="5"/>
        <v>-4.2694805194805241</v>
      </c>
      <c r="Q53" s="312">
        <f t="shared" si="6"/>
        <v>0.95303571428571421</v>
      </c>
      <c r="R53" s="615">
        <f>Q61</f>
        <v>0.95787447133803372</v>
      </c>
      <c r="S53" s="34">
        <v>0.16666666666666666</v>
      </c>
      <c r="T53" s="34">
        <v>0.20555555555555555</v>
      </c>
      <c r="U53" s="21"/>
      <c r="V53" s="319">
        <f t="shared" ref="V53:V60" si="37">(T53-S53)*24*60</f>
        <v>56</v>
      </c>
      <c r="W53" s="16">
        <f>T53</f>
        <v>0.20555555555555555</v>
      </c>
      <c r="X53" s="16">
        <f>S54</f>
        <v>0.22708333333333333</v>
      </c>
      <c r="Y53" s="21"/>
      <c r="Z53" s="21"/>
      <c r="AA53" s="617"/>
      <c r="AB53" s="617"/>
      <c r="AC53" s="35">
        <v>8</v>
      </c>
      <c r="AD53" s="18"/>
      <c r="AE53" s="14">
        <f t="shared" si="8"/>
        <v>-93.928571428571558</v>
      </c>
      <c r="AF53" s="312">
        <f t="shared" si="9"/>
        <v>0.95303571428571421</v>
      </c>
      <c r="AG53" s="615">
        <f>AF61</f>
        <v>0.95787447133803383</v>
      </c>
    </row>
    <row r="54" spans="1:33" ht="15.75" customHeight="1">
      <c r="A54" s="630" t="s">
        <v>277</v>
      </c>
      <c r="B54" s="29" t="s">
        <v>19</v>
      </c>
      <c r="C54" s="616" t="s">
        <v>81</v>
      </c>
      <c r="D54" s="616"/>
      <c r="E54" s="29">
        <v>46</v>
      </c>
      <c r="F54" s="32">
        <v>3370</v>
      </c>
      <c r="G54" s="309">
        <f t="shared" si="35"/>
        <v>155020</v>
      </c>
      <c r="H54" s="33" t="s">
        <v>57</v>
      </c>
      <c r="I54" s="318">
        <v>16</v>
      </c>
      <c r="J54" s="31">
        <v>2000</v>
      </c>
      <c r="K54" s="12">
        <f t="shared" si="1"/>
        <v>125</v>
      </c>
      <c r="L54" s="318">
        <v>16</v>
      </c>
      <c r="M54" s="13">
        <f>F54/V54*60</f>
        <v>1907.5471698113211</v>
      </c>
      <c r="N54" s="13">
        <f t="shared" si="3"/>
        <v>119.22169811320757</v>
      </c>
      <c r="O54" s="14">
        <f t="shared" si="4"/>
        <v>0</v>
      </c>
      <c r="P54" s="15">
        <f t="shared" si="5"/>
        <v>-5.7783018867924341</v>
      </c>
      <c r="Q54" s="312">
        <f t="shared" si="6"/>
        <v>0.95377358490566055</v>
      </c>
      <c r="R54" s="615"/>
      <c r="S54" s="34">
        <v>0.22708333333333333</v>
      </c>
      <c r="T54" s="34">
        <v>0.30069444444444443</v>
      </c>
      <c r="U54" s="309">
        <f t="shared" ref="U54:U60" si="38">IF(S54=TIME(17,0,0),"",(S54-T53)*24*60)</f>
        <v>31.000000000000011</v>
      </c>
      <c r="V54" s="319">
        <f t="shared" si="37"/>
        <v>105.99999999999999</v>
      </c>
      <c r="W54" s="16"/>
      <c r="X54" s="16"/>
      <c r="Y54" s="16"/>
      <c r="Z54" s="16"/>
      <c r="AA54" s="617"/>
      <c r="AB54" s="617"/>
      <c r="AC54" s="35"/>
      <c r="AD54" s="18"/>
      <c r="AE54" s="14">
        <f t="shared" si="8"/>
        <v>-92.452830188678945</v>
      </c>
      <c r="AF54" s="312">
        <f t="shared" si="9"/>
        <v>0.95377358490566055</v>
      </c>
      <c r="AG54" s="615"/>
    </row>
    <row r="55" spans="1:33" ht="15.75" customHeight="1">
      <c r="A55" s="630" t="s">
        <v>277</v>
      </c>
      <c r="B55" s="29" t="s">
        <v>19</v>
      </c>
      <c r="C55" s="622" t="s">
        <v>945</v>
      </c>
      <c r="D55" s="623"/>
      <c r="E55" s="29">
        <v>46</v>
      </c>
      <c r="F55" s="32">
        <v>4034</v>
      </c>
      <c r="G55" s="309">
        <f t="shared" si="35"/>
        <v>185564</v>
      </c>
      <c r="H55" s="33" t="s">
        <v>57</v>
      </c>
      <c r="I55" s="318">
        <v>17</v>
      </c>
      <c r="J55" s="31">
        <v>2000</v>
      </c>
      <c r="K55" s="12">
        <f t="shared" si="1"/>
        <v>117.64705882352941</v>
      </c>
      <c r="L55" s="318">
        <v>17</v>
      </c>
      <c r="M55" s="13">
        <f t="shared" ref="M55:M60" si="39">F55/V55*60</f>
        <v>1905.8267716535429</v>
      </c>
      <c r="N55" s="13">
        <f t="shared" si="3"/>
        <v>112.10745715609076</v>
      </c>
      <c r="O55" s="14">
        <f t="shared" si="4"/>
        <v>0</v>
      </c>
      <c r="P55" s="15">
        <f t="shared" si="5"/>
        <v>-5.5396016674386459</v>
      </c>
      <c r="Q55" s="312">
        <f t="shared" si="6"/>
        <v>0.95291338582677154</v>
      </c>
      <c r="R55" s="615"/>
      <c r="S55" s="34">
        <v>0.30555555555555552</v>
      </c>
      <c r="T55" s="34">
        <v>0.39374999999999999</v>
      </c>
      <c r="U55" s="309">
        <f t="shared" si="38"/>
        <v>6.9999999999999751</v>
      </c>
      <c r="V55" s="319">
        <f t="shared" si="37"/>
        <v>127.00000000000003</v>
      </c>
      <c r="W55" s="16"/>
      <c r="X55" s="16"/>
      <c r="Y55" s="19"/>
      <c r="Z55" s="19"/>
      <c r="AA55" s="617"/>
      <c r="AB55" s="617"/>
      <c r="AC55" s="35"/>
      <c r="AD55" s="18"/>
      <c r="AE55" s="14">
        <f t="shared" si="8"/>
        <v>-94.173228346457108</v>
      </c>
      <c r="AF55" s="312">
        <f t="shared" si="9"/>
        <v>0.95291338582677143</v>
      </c>
      <c r="AG55" s="615"/>
    </row>
    <row r="56" spans="1:33" ht="15.75" customHeight="1">
      <c r="A56" s="630" t="s">
        <v>277</v>
      </c>
      <c r="B56" s="29" t="s">
        <v>15</v>
      </c>
      <c r="C56" s="314" t="s">
        <v>27</v>
      </c>
      <c r="D56" s="315"/>
      <c r="E56" s="29">
        <v>59.04</v>
      </c>
      <c r="F56" s="32">
        <v>3073</v>
      </c>
      <c r="G56" s="309">
        <f t="shared" si="35"/>
        <v>181429.91999999998</v>
      </c>
      <c r="H56" s="33" t="s">
        <v>57</v>
      </c>
      <c r="I56" s="318">
        <v>19</v>
      </c>
      <c r="J56" s="31">
        <v>2000</v>
      </c>
      <c r="K56" s="12">
        <f t="shared" si="1"/>
        <v>105.26315789473684</v>
      </c>
      <c r="L56" s="318">
        <v>19</v>
      </c>
      <c r="M56" s="13">
        <f t="shared" si="39"/>
        <v>1920.6250000000007</v>
      </c>
      <c r="N56" s="13">
        <f t="shared" si="3"/>
        <v>101.08552631578951</v>
      </c>
      <c r="O56" s="14">
        <f t="shared" si="4"/>
        <v>0</v>
      </c>
      <c r="P56" s="15">
        <f t="shared" si="5"/>
        <v>-4.1776315789473273</v>
      </c>
      <c r="Q56" s="312">
        <f t="shared" si="6"/>
        <v>0.96031250000000035</v>
      </c>
      <c r="R56" s="615"/>
      <c r="S56" s="34">
        <v>0.3972222222222222</v>
      </c>
      <c r="T56" s="34">
        <v>0.46388888888888885</v>
      </c>
      <c r="U56" s="309">
        <f t="shared" si="38"/>
        <v>4.9999999999999822</v>
      </c>
      <c r="V56" s="319">
        <f t="shared" si="37"/>
        <v>95.999999999999972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-79.374999999999318</v>
      </c>
      <c r="AF56" s="312">
        <f t="shared" si="9"/>
        <v>0.96031250000000035</v>
      </c>
      <c r="AG56" s="615"/>
    </row>
    <row r="57" spans="1:33" ht="15.75" customHeight="1">
      <c r="A57" s="630" t="s">
        <v>277</v>
      </c>
      <c r="B57" s="29" t="s">
        <v>15</v>
      </c>
      <c r="C57" s="314" t="s">
        <v>48</v>
      </c>
      <c r="D57" s="315"/>
      <c r="E57" s="29">
        <v>55.56</v>
      </c>
      <c r="F57" s="32">
        <v>2454</v>
      </c>
      <c r="G57" s="309">
        <f t="shared" si="35"/>
        <v>136344.24000000002</v>
      </c>
      <c r="H57" s="33" t="s">
        <v>57</v>
      </c>
      <c r="I57" s="318">
        <v>17</v>
      </c>
      <c r="J57" s="31">
        <v>2000</v>
      </c>
      <c r="K57" s="12">
        <f t="shared" si="1"/>
        <v>117.64705882352941</v>
      </c>
      <c r="L57" s="318">
        <v>17</v>
      </c>
      <c r="M57" s="13">
        <f t="shared" si="39"/>
        <v>1912.207792207791</v>
      </c>
      <c r="N57" s="13">
        <f t="shared" si="3"/>
        <v>112.48281130634065</v>
      </c>
      <c r="O57" s="14">
        <f t="shared" si="4"/>
        <v>0</v>
      </c>
      <c r="P57" s="15">
        <f t="shared" si="5"/>
        <v>-5.1642475171887554</v>
      </c>
      <c r="Q57" s="312">
        <f t="shared" si="6"/>
        <v>0.95610389610389557</v>
      </c>
      <c r="R57" s="615"/>
      <c r="S57" s="34">
        <v>0.70833333333333337</v>
      </c>
      <c r="T57" s="34">
        <v>0.76180555555555562</v>
      </c>
      <c r="U57" s="309" t="str">
        <f t="shared" si="38"/>
        <v/>
      </c>
      <c r="V57" s="319">
        <f t="shared" si="37"/>
        <v>77.000000000000043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-87.792207792208956</v>
      </c>
      <c r="AF57" s="312">
        <f t="shared" si="9"/>
        <v>0.95610389610389557</v>
      </c>
      <c r="AG57" s="615"/>
    </row>
    <row r="58" spans="1:33" ht="15.75" customHeight="1">
      <c r="A58" s="630" t="s">
        <v>277</v>
      </c>
      <c r="B58" s="29" t="s">
        <v>15</v>
      </c>
      <c r="C58" s="622" t="s">
        <v>841</v>
      </c>
      <c r="D58" s="623"/>
      <c r="E58" s="29">
        <v>54.09</v>
      </c>
      <c r="F58" s="32">
        <v>1938</v>
      </c>
      <c r="G58" s="309">
        <f t="shared" si="35"/>
        <v>104826.42000000001</v>
      </c>
      <c r="H58" s="33" t="s">
        <v>57</v>
      </c>
      <c r="I58" s="318">
        <v>13</v>
      </c>
      <c r="J58" s="31">
        <v>2000</v>
      </c>
      <c r="K58" s="12">
        <f t="shared" si="1"/>
        <v>153.84615384615384</v>
      </c>
      <c r="L58" s="318">
        <v>13</v>
      </c>
      <c r="M58" s="13">
        <f t="shared" si="39"/>
        <v>1906.2295081967231</v>
      </c>
      <c r="N58" s="13">
        <f t="shared" si="3"/>
        <v>146.63303909205564</v>
      </c>
      <c r="O58" s="14">
        <f t="shared" si="4"/>
        <v>0</v>
      </c>
      <c r="P58" s="15">
        <f t="shared" si="5"/>
        <v>-7.2131147540981999</v>
      </c>
      <c r="Q58" s="312">
        <f t="shared" si="6"/>
        <v>0.95311475409836166</v>
      </c>
      <c r="R58" s="615"/>
      <c r="S58" s="34">
        <v>0.76736111111111116</v>
      </c>
      <c r="T58" s="34">
        <v>0.80972222222222223</v>
      </c>
      <c r="U58" s="309">
        <f t="shared" si="38"/>
        <v>7.9999999999999716</v>
      </c>
      <c r="V58" s="319">
        <f t="shared" si="37"/>
        <v>60.999999999999943</v>
      </c>
      <c r="W58" s="16"/>
      <c r="X58" s="16"/>
      <c r="Y58" s="19"/>
      <c r="Z58" s="19"/>
      <c r="AA58" s="624"/>
      <c r="AB58" s="625"/>
      <c r="AC58" s="35"/>
      <c r="AD58" s="18"/>
      <c r="AE58" s="14">
        <f t="shared" si="8"/>
        <v>-93.770491803276855</v>
      </c>
      <c r="AF58" s="312">
        <f t="shared" si="9"/>
        <v>0.95311475409836155</v>
      </c>
      <c r="AG58" s="615"/>
    </row>
    <row r="59" spans="1:33" ht="15.75" customHeight="1">
      <c r="A59" s="630" t="s">
        <v>277</v>
      </c>
      <c r="B59" s="29" t="s">
        <v>15</v>
      </c>
      <c r="C59" s="622" t="s">
        <v>85</v>
      </c>
      <c r="D59" s="623"/>
      <c r="E59" s="29">
        <v>56.43</v>
      </c>
      <c r="F59" s="32">
        <v>1000</v>
      </c>
      <c r="G59" s="309">
        <f t="shared" si="35"/>
        <v>56430</v>
      </c>
      <c r="H59" s="33">
        <v>2</v>
      </c>
      <c r="I59" s="318">
        <v>13</v>
      </c>
      <c r="J59" s="31">
        <v>2000</v>
      </c>
      <c r="K59" s="12">
        <f t="shared" si="1"/>
        <v>153.84615384615384</v>
      </c>
      <c r="L59" s="318">
        <v>13</v>
      </c>
      <c r="M59" s="13">
        <f t="shared" si="39"/>
        <v>1935.483870967739</v>
      </c>
      <c r="N59" s="13">
        <f t="shared" si="3"/>
        <v>148.88337468982607</v>
      </c>
      <c r="O59" s="14">
        <f t="shared" si="4"/>
        <v>0</v>
      </c>
      <c r="P59" s="15">
        <f t="shared" si="5"/>
        <v>-4.9627791563277697</v>
      </c>
      <c r="Q59" s="312">
        <f t="shared" si="6"/>
        <v>0.96774193548386944</v>
      </c>
      <c r="R59" s="615"/>
      <c r="S59" s="34">
        <v>0.81458333333333333</v>
      </c>
      <c r="T59" s="34">
        <v>0.83611111111111114</v>
      </c>
      <c r="U59" s="309">
        <f t="shared" si="38"/>
        <v>6.9999999999999751</v>
      </c>
      <c r="V59" s="319">
        <f t="shared" si="37"/>
        <v>31.00000000000005</v>
      </c>
      <c r="W59" s="16">
        <f>T59</f>
        <v>0.83611111111111114</v>
      </c>
      <c r="X59" s="16">
        <f>S60</f>
        <v>0.87638888888888888</v>
      </c>
      <c r="Y59" s="19"/>
      <c r="Z59" s="19"/>
      <c r="AA59" s="624"/>
      <c r="AB59" s="625"/>
      <c r="AC59" s="35"/>
      <c r="AD59" s="18"/>
      <c r="AE59" s="14">
        <f t="shared" si="8"/>
        <v>-64.516129032261006</v>
      </c>
      <c r="AF59" s="312">
        <f t="shared" si="9"/>
        <v>0.96774193548386944</v>
      </c>
      <c r="AG59" s="615"/>
    </row>
    <row r="60" spans="1:33" ht="15.75" customHeight="1">
      <c r="A60" s="630" t="s">
        <v>277</v>
      </c>
      <c r="B60" s="29" t="s">
        <v>15</v>
      </c>
      <c r="C60" s="622" t="s">
        <v>85</v>
      </c>
      <c r="D60" s="623"/>
      <c r="E60" s="29">
        <v>56.43</v>
      </c>
      <c r="F60" s="32">
        <v>966</v>
      </c>
      <c r="G60" s="309">
        <f t="shared" si="35"/>
        <v>54511.38</v>
      </c>
      <c r="H60" s="33" t="s">
        <v>57</v>
      </c>
      <c r="I60" s="318">
        <v>13</v>
      </c>
      <c r="J60" s="31">
        <v>2000</v>
      </c>
      <c r="K60" s="12">
        <f t="shared" si="1"/>
        <v>153.84615384615384</v>
      </c>
      <c r="L60" s="318">
        <v>13</v>
      </c>
      <c r="M60" s="13">
        <f t="shared" si="39"/>
        <v>1931.9999999999968</v>
      </c>
      <c r="N60" s="13">
        <f t="shared" si="3"/>
        <v>148.61538461538436</v>
      </c>
      <c r="O60" s="14">
        <f t="shared" si="4"/>
        <v>0</v>
      </c>
      <c r="P60" s="15">
        <f t="shared" si="5"/>
        <v>-5.2307692307694822</v>
      </c>
      <c r="Q60" s="312">
        <f t="shared" si="6"/>
        <v>0.96599999999999842</v>
      </c>
      <c r="R60" s="615"/>
      <c r="S60" s="34">
        <v>0.87638888888888888</v>
      </c>
      <c r="T60" s="34">
        <v>0.89722222222222225</v>
      </c>
      <c r="U60" s="309">
        <f t="shared" si="38"/>
        <v>57.999999999999957</v>
      </c>
      <c r="V60" s="319">
        <f t="shared" si="37"/>
        <v>30.000000000000053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-68.000000000003183</v>
      </c>
      <c r="AF60" s="312">
        <f t="shared" si="9"/>
        <v>0.96599999999999842</v>
      </c>
      <c r="AG60" s="615"/>
    </row>
    <row r="61" spans="1:33">
      <c r="A61" s="631" t="s">
        <v>1416</v>
      </c>
      <c r="B61" s="29" t="s">
        <v>175</v>
      </c>
      <c r="C61" s="618"/>
      <c r="D61" s="618"/>
      <c r="E61" s="313"/>
      <c r="F61" s="30"/>
      <c r="G61" s="12"/>
      <c r="H61" s="320"/>
      <c r="I61" s="23">
        <v>16.25</v>
      </c>
      <c r="J61" s="31">
        <v>2000</v>
      </c>
      <c r="K61" s="12">
        <f t="shared" si="1"/>
        <v>123.07692307692308</v>
      </c>
      <c r="L61" s="23">
        <v>16.25</v>
      </c>
      <c r="M61" s="13">
        <f>AVERAGE(M53:M60)</f>
        <v>1915.7489426760676</v>
      </c>
      <c r="N61" s="12">
        <f t="shared" si="3"/>
        <v>117.89224262621954</v>
      </c>
      <c r="O61" s="14">
        <f t="shared" si="4"/>
        <v>0</v>
      </c>
      <c r="P61" s="15">
        <f t="shared" si="5"/>
        <v>-5.1846804507035387</v>
      </c>
      <c r="Q61" s="312">
        <f t="shared" si="6"/>
        <v>0.95787447133803372</v>
      </c>
      <c r="R61" s="615"/>
      <c r="S61" s="34"/>
      <c r="T61" s="34"/>
      <c r="U61" s="309"/>
      <c r="V61" s="319"/>
      <c r="W61" s="12"/>
      <c r="X61" s="12"/>
      <c r="Y61" s="24">
        <f>SUM(Y53:Y60)</f>
        <v>0</v>
      </c>
      <c r="Z61" s="24">
        <f>SUM(Z53:Z60)</f>
        <v>0</v>
      </c>
      <c r="AA61" s="614"/>
      <c r="AB61" s="614"/>
      <c r="AC61" s="24">
        <v>8</v>
      </c>
      <c r="AD61" s="24">
        <f>SUM(AD53:AD60)</f>
        <v>0</v>
      </c>
      <c r="AE61" s="14">
        <f>M61-J61</f>
        <v>-84.2510573239324</v>
      </c>
      <c r="AF61" s="312">
        <f t="shared" si="9"/>
        <v>0.95787447133803383</v>
      </c>
      <c r="AG61" s="615"/>
    </row>
    <row r="62" spans="1:33" ht="15.75" customHeight="1">
      <c r="A62" s="626" t="s">
        <v>182</v>
      </c>
      <c r="B62" s="320" t="s">
        <v>40</v>
      </c>
      <c r="C62" s="616" t="s">
        <v>49</v>
      </c>
      <c r="D62" s="616"/>
      <c r="E62" s="29">
        <v>34.36</v>
      </c>
      <c r="F62" s="32">
        <v>2592</v>
      </c>
      <c r="G62" s="309">
        <f t="shared" ref="G62:G66" si="40">E62*F62</f>
        <v>89061.119999999995</v>
      </c>
      <c r="H62" s="33" t="s">
        <v>57</v>
      </c>
      <c r="I62" s="318">
        <v>10</v>
      </c>
      <c r="J62" s="31">
        <v>3000</v>
      </c>
      <c r="K62" s="12">
        <f t="shared" si="1"/>
        <v>300</v>
      </c>
      <c r="L62" s="318">
        <v>10</v>
      </c>
      <c r="M62" s="13">
        <f t="shared" ref="M62:M66" si="41">F62/V62*60</f>
        <v>2879.9999999999995</v>
      </c>
      <c r="N62" s="12">
        <f t="shared" si="3"/>
        <v>287.99999999999994</v>
      </c>
      <c r="O62" s="14">
        <f t="shared" si="4"/>
        <v>0</v>
      </c>
      <c r="P62" s="15">
        <f t="shared" si="5"/>
        <v>-12.000000000000057</v>
      </c>
      <c r="Q62" s="312">
        <f t="shared" si="6"/>
        <v>0.95999999999999985</v>
      </c>
      <c r="R62" s="615">
        <f>Q67</f>
        <v>0.96216464237516852</v>
      </c>
      <c r="S62" s="34">
        <v>0.20833333333333334</v>
      </c>
      <c r="T62" s="34">
        <v>0.24583333333333335</v>
      </c>
      <c r="U62" s="309"/>
      <c r="V62" s="319">
        <f t="shared" ref="V62:V66" si="42">(T62-S62)*24*60</f>
        <v>54.000000000000007</v>
      </c>
      <c r="W62" s="16"/>
      <c r="X62" s="16"/>
      <c r="Y62" s="21"/>
      <c r="Z62" s="21"/>
      <c r="AA62" s="617"/>
      <c r="AB62" s="617"/>
      <c r="AC62" s="35">
        <v>5</v>
      </c>
      <c r="AD62" s="18"/>
      <c r="AE62" s="14">
        <f t="shared" ref="AE62:AE75" si="43">M62-J62</f>
        <v>-120.00000000000045</v>
      </c>
      <c r="AF62" s="312">
        <f t="shared" si="9"/>
        <v>0.95999999999999985</v>
      </c>
      <c r="AG62" s="615">
        <f>AF67</f>
        <v>0.96216464237516874</v>
      </c>
    </row>
    <row r="63" spans="1:33" ht="15.75" customHeight="1">
      <c r="A63" s="626" t="s">
        <v>182</v>
      </c>
      <c r="B63" s="320" t="s">
        <v>40</v>
      </c>
      <c r="C63" s="616" t="s">
        <v>50</v>
      </c>
      <c r="D63" s="616"/>
      <c r="E63" s="29">
        <v>34.36</v>
      </c>
      <c r="F63" s="32">
        <v>1281</v>
      </c>
      <c r="G63" s="309">
        <f t="shared" si="40"/>
        <v>44015.159999999996</v>
      </c>
      <c r="H63" s="33" t="s">
        <v>57</v>
      </c>
      <c r="I63" s="318">
        <v>10</v>
      </c>
      <c r="J63" s="31">
        <v>3000</v>
      </c>
      <c r="K63" s="12">
        <f t="shared" si="1"/>
        <v>300</v>
      </c>
      <c r="L63" s="318">
        <v>10</v>
      </c>
      <c r="M63" s="13">
        <f t="shared" si="41"/>
        <v>2956.1538461538476</v>
      </c>
      <c r="N63" s="12">
        <f t="shared" si="3"/>
        <v>295.61538461538476</v>
      </c>
      <c r="O63" s="14">
        <f t="shared" si="4"/>
        <v>0</v>
      </c>
      <c r="P63" s="15">
        <f t="shared" si="5"/>
        <v>-4.3846153846152447</v>
      </c>
      <c r="Q63" s="312">
        <f t="shared" si="6"/>
        <v>0.98538461538461586</v>
      </c>
      <c r="R63" s="615"/>
      <c r="S63" s="34">
        <v>0.25069444444444444</v>
      </c>
      <c r="T63" s="34">
        <v>0.26874999999999999</v>
      </c>
      <c r="U63" s="309">
        <f t="shared" ref="U63:U66" si="44">(S63-T62)*24*60</f>
        <v>6.9999999999999751</v>
      </c>
      <c r="V63" s="319">
        <f t="shared" si="42"/>
        <v>25.999999999999986</v>
      </c>
      <c r="W63" s="309"/>
      <c r="X63" s="309"/>
      <c r="Y63" s="309"/>
      <c r="Z63" s="309"/>
      <c r="AA63" s="617"/>
      <c r="AB63" s="617"/>
      <c r="AC63" s="35"/>
      <c r="AD63" s="18"/>
      <c r="AE63" s="14">
        <f t="shared" si="43"/>
        <v>-43.846153846152447</v>
      </c>
      <c r="AF63" s="312">
        <f t="shared" si="9"/>
        <v>0.98538461538461586</v>
      </c>
      <c r="AG63" s="615"/>
    </row>
    <row r="64" spans="1:33" ht="15.75" customHeight="1">
      <c r="A64" s="626" t="s">
        <v>182</v>
      </c>
      <c r="B64" s="320" t="s">
        <v>40</v>
      </c>
      <c r="C64" s="616" t="s">
        <v>51</v>
      </c>
      <c r="D64" s="616"/>
      <c r="E64" s="29">
        <v>26.78</v>
      </c>
      <c r="F64" s="32">
        <v>2886</v>
      </c>
      <c r="G64" s="309">
        <f t="shared" si="40"/>
        <v>77287.08</v>
      </c>
      <c r="H64" s="33" t="s">
        <v>57</v>
      </c>
      <c r="I64" s="318">
        <v>10</v>
      </c>
      <c r="J64" s="31">
        <v>3000</v>
      </c>
      <c r="K64" s="12">
        <f t="shared" si="1"/>
        <v>300</v>
      </c>
      <c r="L64" s="318">
        <v>10</v>
      </c>
      <c r="M64" s="13">
        <f t="shared" si="41"/>
        <v>2885.9999999999986</v>
      </c>
      <c r="N64" s="12">
        <f t="shared" si="3"/>
        <v>288.59999999999985</v>
      </c>
      <c r="O64" s="14">
        <f t="shared" si="4"/>
        <v>0</v>
      </c>
      <c r="P64" s="15">
        <f t="shared" si="5"/>
        <v>-11.400000000000148</v>
      </c>
      <c r="Q64" s="312">
        <f t="shared" si="6"/>
        <v>0.96199999999999952</v>
      </c>
      <c r="R64" s="615"/>
      <c r="S64" s="34">
        <v>0.27291666666666664</v>
      </c>
      <c r="T64" s="34">
        <v>0.31458333333333333</v>
      </c>
      <c r="U64" s="309">
        <f t="shared" si="44"/>
        <v>5.9999999999999787</v>
      </c>
      <c r="V64" s="319">
        <f t="shared" si="42"/>
        <v>60.000000000000028</v>
      </c>
      <c r="W64" s="309"/>
      <c r="X64" s="309"/>
      <c r="Y64" s="309"/>
      <c r="Z64" s="309"/>
      <c r="AA64" s="617"/>
      <c r="AB64" s="617"/>
      <c r="AC64" s="35"/>
      <c r="AD64" s="18"/>
      <c r="AE64" s="14">
        <f t="shared" si="43"/>
        <v>-114.00000000000136</v>
      </c>
      <c r="AF64" s="312">
        <f t="shared" si="9"/>
        <v>0.96199999999999952</v>
      </c>
      <c r="AG64" s="615"/>
    </row>
    <row r="65" spans="1:33" ht="15.75" customHeight="1">
      <c r="A65" s="626" t="s">
        <v>182</v>
      </c>
      <c r="B65" s="320" t="s">
        <v>40</v>
      </c>
      <c r="C65" s="616" t="s">
        <v>52</v>
      </c>
      <c r="D65" s="616"/>
      <c r="E65" s="29">
        <v>35.869999999999997</v>
      </c>
      <c r="F65" s="32">
        <v>4513</v>
      </c>
      <c r="G65" s="309">
        <f t="shared" si="40"/>
        <v>161881.31</v>
      </c>
      <c r="H65" s="33" t="s">
        <v>57</v>
      </c>
      <c r="I65" s="318">
        <v>9</v>
      </c>
      <c r="J65" s="31">
        <v>3000</v>
      </c>
      <c r="K65" s="12">
        <f t="shared" si="1"/>
        <v>333.33333333333331</v>
      </c>
      <c r="L65" s="318">
        <v>9</v>
      </c>
      <c r="M65" s="13">
        <f t="shared" si="41"/>
        <v>2850.3157894736846</v>
      </c>
      <c r="N65" s="12">
        <f t="shared" si="3"/>
        <v>316.70175438596493</v>
      </c>
      <c r="O65" s="14">
        <f t="shared" si="4"/>
        <v>0</v>
      </c>
      <c r="P65" s="15">
        <f t="shared" si="5"/>
        <v>-16.631578947368382</v>
      </c>
      <c r="Q65" s="312">
        <f t="shared" si="6"/>
        <v>0.9501052631578949</v>
      </c>
      <c r="R65" s="615"/>
      <c r="S65" s="34">
        <v>0.31805555555555554</v>
      </c>
      <c r="T65" s="34">
        <v>0.38402777777777775</v>
      </c>
      <c r="U65" s="309">
        <f t="shared" si="44"/>
        <v>4.9999999999999822</v>
      </c>
      <c r="V65" s="319">
        <f t="shared" si="42"/>
        <v>94.999999999999986</v>
      </c>
      <c r="W65" s="309"/>
      <c r="X65" s="309"/>
      <c r="Y65" s="309"/>
      <c r="Z65" s="309"/>
      <c r="AA65" s="617"/>
      <c r="AB65" s="617"/>
      <c r="AC65" s="35"/>
      <c r="AD65" s="18"/>
      <c r="AE65" s="14">
        <f t="shared" si="43"/>
        <v>-149.68421052631538</v>
      </c>
      <c r="AF65" s="312">
        <f t="shared" si="9"/>
        <v>0.9501052631578949</v>
      </c>
      <c r="AG65" s="615"/>
    </row>
    <row r="66" spans="1:33">
      <c r="A66" s="627" t="s">
        <v>182</v>
      </c>
      <c r="B66" s="320" t="s">
        <v>40</v>
      </c>
      <c r="C66" s="616" t="s">
        <v>53</v>
      </c>
      <c r="D66" s="616"/>
      <c r="E66" s="29">
        <v>34.35</v>
      </c>
      <c r="F66" s="32">
        <v>2145</v>
      </c>
      <c r="G66" s="309">
        <f t="shared" si="40"/>
        <v>73680.75</v>
      </c>
      <c r="H66" s="33" t="s">
        <v>57</v>
      </c>
      <c r="I66" s="318">
        <v>8</v>
      </c>
      <c r="J66" s="31">
        <v>3000</v>
      </c>
      <c r="K66" s="12">
        <f t="shared" si="1"/>
        <v>375</v>
      </c>
      <c r="L66" s="318">
        <v>8</v>
      </c>
      <c r="M66" s="13">
        <f t="shared" si="41"/>
        <v>2860</v>
      </c>
      <c r="N66" s="12">
        <f t="shared" si="3"/>
        <v>357.5</v>
      </c>
      <c r="O66" s="14">
        <f t="shared" si="4"/>
        <v>0</v>
      </c>
      <c r="P66" s="15">
        <f t="shared" si="5"/>
        <v>-17.5</v>
      </c>
      <c r="Q66" s="312">
        <f t="shared" si="6"/>
        <v>0.95333333333333337</v>
      </c>
      <c r="R66" s="615"/>
      <c r="S66" s="34">
        <v>0.38958333333333328</v>
      </c>
      <c r="T66" s="34">
        <v>0.42083333333333328</v>
      </c>
      <c r="U66" s="309">
        <f t="shared" si="44"/>
        <v>7.9999999999999716</v>
      </c>
      <c r="V66" s="319">
        <f t="shared" si="42"/>
        <v>45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-140</v>
      </c>
      <c r="AF66" s="312">
        <f t="shared" si="9"/>
        <v>0.95333333333333337</v>
      </c>
      <c r="AG66" s="615"/>
    </row>
    <row r="67" spans="1:33">
      <c r="A67" s="627" t="s">
        <v>182</v>
      </c>
      <c r="B67" s="29" t="s">
        <v>175</v>
      </c>
      <c r="C67" s="618"/>
      <c r="D67" s="618"/>
      <c r="E67" s="313"/>
      <c r="F67" s="30"/>
      <c r="G67" s="12"/>
      <c r="H67" s="320"/>
      <c r="I67" s="23">
        <v>9.4</v>
      </c>
      <c r="J67" s="31">
        <v>3000</v>
      </c>
      <c r="K67" s="12">
        <f t="shared" si="1"/>
        <v>319.14893617021278</v>
      </c>
      <c r="L67" s="23">
        <v>9.4</v>
      </c>
      <c r="M67" s="13">
        <f>AVERAGE(M62:M66)</f>
        <v>2886.4939271255062</v>
      </c>
      <c r="N67" s="12">
        <f t="shared" si="3"/>
        <v>307.07382203462828</v>
      </c>
      <c r="O67" s="14">
        <f t="shared" si="4"/>
        <v>0</v>
      </c>
      <c r="P67" s="15">
        <f t="shared" si="5"/>
        <v>-12.075114135584499</v>
      </c>
      <c r="Q67" s="312">
        <f t="shared" si="6"/>
        <v>0.96216464237516852</v>
      </c>
      <c r="R67" s="615"/>
      <c r="S67" s="34"/>
      <c r="T67" s="34"/>
      <c r="U67" s="12"/>
      <c r="V67" s="319"/>
      <c r="W67" s="12"/>
      <c r="X67" s="12"/>
      <c r="Y67" s="24">
        <f>SUM(Y62:Y66)</f>
        <v>0</v>
      </c>
      <c r="Z67" s="24">
        <f>SUM(Z62:Z66)</f>
        <v>0</v>
      </c>
      <c r="AA67" s="614"/>
      <c r="AB67" s="614"/>
      <c r="AC67" s="24">
        <v>5</v>
      </c>
      <c r="AD67" s="24">
        <f>SUM(AD62:AD66)</f>
        <v>0</v>
      </c>
      <c r="AE67" s="14">
        <f t="shared" si="43"/>
        <v>-113.50607287449384</v>
      </c>
      <c r="AF67" s="312">
        <f t="shared" si="9"/>
        <v>0.96216464237516874</v>
      </c>
      <c r="AG67" s="615"/>
    </row>
    <row r="68" spans="1:33" ht="15.75" customHeight="1">
      <c r="A68" s="619" t="s">
        <v>183</v>
      </c>
      <c r="B68" s="320" t="s">
        <v>32</v>
      </c>
      <c r="C68" s="616" t="s">
        <v>56</v>
      </c>
      <c r="D68" s="616"/>
      <c r="E68" s="29">
        <v>19.02</v>
      </c>
      <c r="F68" s="320">
        <v>6200</v>
      </c>
      <c r="G68" s="309">
        <f t="shared" ref="G68:G74" si="45">E68*F68</f>
        <v>117924</v>
      </c>
      <c r="H68" s="33">
        <v>2</v>
      </c>
      <c r="I68" s="318">
        <v>14</v>
      </c>
      <c r="J68" s="31">
        <v>2400</v>
      </c>
      <c r="K68" s="12">
        <f t="shared" si="1"/>
        <v>171.42857142857142</v>
      </c>
      <c r="L68" s="318">
        <v>14</v>
      </c>
      <c r="M68" s="13">
        <f t="shared" ref="M68:M74" si="46">F68/V68*60</f>
        <v>2282.2085889570549</v>
      </c>
      <c r="N68" s="12">
        <f t="shared" si="3"/>
        <v>163.01489921121819</v>
      </c>
      <c r="O68" s="14">
        <f t="shared" si="4"/>
        <v>0</v>
      </c>
      <c r="P68" s="15">
        <f t="shared" si="5"/>
        <v>-8.4136722173532235</v>
      </c>
      <c r="Q68" s="312">
        <f t="shared" si="6"/>
        <v>0.95092024539877285</v>
      </c>
      <c r="R68" s="615">
        <f>Q75</f>
        <v>0.95569692381594873</v>
      </c>
      <c r="S68" s="34">
        <v>8.3333333333333329E-2</v>
      </c>
      <c r="T68" s="34">
        <v>0.19652777777777777</v>
      </c>
      <c r="U68" s="21"/>
      <c r="V68" s="319">
        <f t="shared" ref="V68:V74" si="47">(T68-S68)*24*60</f>
        <v>163</v>
      </c>
      <c r="W68" s="16">
        <f>T68</f>
        <v>0.19652777777777777</v>
      </c>
      <c r="X68" s="16">
        <f>S69</f>
        <v>0.2159722222222222</v>
      </c>
      <c r="Y68" s="16"/>
      <c r="Z68" s="16"/>
      <c r="AA68" s="617"/>
      <c r="AB68" s="617"/>
      <c r="AC68" s="35">
        <v>7</v>
      </c>
      <c r="AD68" s="18"/>
      <c r="AE68" s="14">
        <f t="shared" si="43"/>
        <v>-117.79141104294513</v>
      </c>
      <c r="AF68" s="312">
        <f t="shared" si="9"/>
        <v>0.95092024539877285</v>
      </c>
      <c r="AG68" s="615">
        <f>AF75</f>
        <v>0.95569692381594884</v>
      </c>
    </row>
    <row r="69" spans="1:33" ht="15.75" customHeight="1">
      <c r="A69" s="620" t="s">
        <v>183</v>
      </c>
      <c r="B69" s="320" t="s">
        <v>32</v>
      </c>
      <c r="C69" s="616" t="s">
        <v>36</v>
      </c>
      <c r="D69" s="616"/>
      <c r="E69" s="29">
        <v>20.36</v>
      </c>
      <c r="F69" s="320">
        <v>5095</v>
      </c>
      <c r="G69" s="309">
        <f t="shared" si="45"/>
        <v>103734.2</v>
      </c>
      <c r="H69" s="33" t="s">
        <v>57</v>
      </c>
      <c r="I69" s="318">
        <v>17</v>
      </c>
      <c r="J69" s="31">
        <v>2400</v>
      </c>
      <c r="K69" s="12">
        <f t="shared" ref="K69:K75" si="48">J69/I69</f>
        <v>141.1764705882353</v>
      </c>
      <c r="L69" s="318">
        <v>17</v>
      </c>
      <c r="M69" s="13">
        <f t="shared" si="46"/>
        <v>2281.3432835820886</v>
      </c>
      <c r="N69" s="12">
        <f t="shared" ref="N69:N75" si="49">M69/L69</f>
        <v>134.19666374012286</v>
      </c>
      <c r="O69" s="14">
        <f t="shared" ref="O69:O75" si="50">L69-I69</f>
        <v>0</v>
      </c>
      <c r="P69" s="15">
        <f t="shared" ref="P69:P75" si="51">N69-K69</f>
        <v>-6.979806848112446</v>
      </c>
      <c r="Q69" s="312">
        <f t="shared" ref="Q69:Q75" si="52">N69/K69</f>
        <v>0.95055970149253688</v>
      </c>
      <c r="R69" s="615"/>
      <c r="S69" s="34">
        <v>0.2159722222222222</v>
      </c>
      <c r="T69" s="34">
        <v>0.30902777777777779</v>
      </c>
      <c r="U69" s="309">
        <f t="shared" ref="U69:U74" si="53">(S69-T68)*24*60</f>
        <v>27.999999999999979</v>
      </c>
      <c r="V69" s="319">
        <f t="shared" si="47"/>
        <v>134.00000000000006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-118.65671641791141</v>
      </c>
      <c r="AF69" s="312">
        <f t="shared" ref="AF69:AF75" si="54">M69/J69</f>
        <v>0.95055970149253688</v>
      </c>
      <c r="AG69" s="615"/>
    </row>
    <row r="70" spans="1:33" ht="15.75" customHeight="1">
      <c r="A70" s="620" t="s">
        <v>183</v>
      </c>
      <c r="B70" s="320" t="s">
        <v>32</v>
      </c>
      <c r="C70" s="616" t="s">
        <v>54</v>
      </c>
      <c r="D70" s="616"/>
      <c r="E70" s="29">
        <v>20.21</v>
      </c>
      <c r="F70" s="320">
        <v>3415</v>
      </c>
      <c r="G70" s="309">
        <f t="shared" si="45"/>
        <v>69017.150000000009</v>
      </c>
      <c r="H70" s="33" t="s">
        <v>57</v>
      </c>
      <c r="I70" s="318">
        <v>15</v>
      </c>
      <c r="J70" s="31">
        <v>2400</v>
      </c>
      <c r="K70" s="12">
        <f t="shared" si="48"/>
        <v>160</v>
      </c>
      <c r="L70" s="318">
        <v>15</v>
      </c>
      <c r="M70" s="13">
        <f t="shared" si="46"/>
        <v>2302.2471910112358</v>
      </c>
      <c r="N70" s="12">
        <f t="shared" si="49"/>
        <v>153.48314606741573</v>
      </c>
      <c r="O70" s="14">
        <f t="shared" si="50"/>
        <v>0</v>
      </c>
      <c r="P70" s="15">
        <f t="shared" si="51"/>
        <v>-6.5168539325842687</v>
      </c>
      <c r="Q70" s="312">
        <f t="shared" si="52"/>
        <v>0.9592696629213483</v>
      </c>
      <c r="R70" s="615"/>
      <c r="S70" s="34">
        <v>0.3125</v>
      </c>
      <c r="T70" s="34">
        <v>0.37430555555555556</v>
      </c>
      <c r="U70" s="309">
        <f t="shared" si="53"/>
        <v>4.9999999999999822</v>
      </c>
      <c r="V70" s="319">
        <f t="shared" si="47"/>
        <v>89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-97.752808988764173</v>
      </c>
      <c r="AF70" s="312">
        <f t="shared" si="54"/>
        <v>0.9592696629213483</v>
      </c>
      <c r="AG70" s="615"/>
    </row>
    <row r="71" spans="1:33" ht="15.75" customHeight="1">
      <c r="A71" s="620" t="s">
        <v>183</v>
      </c>
      <c r="B71" s="320" t="s">
        <v>32</v>
      </c>
      <c r="C71" s="616" t="s">
        <v>55</v>
      </c>
      <c r="D71" s="616"/>
      <c r="E71" s="29">
        <v>22.69</v>
      </c>
      <c r="F71" s="320">
        <v>3717</v>
      </c>
      <c r="G71" s="309">
        <f t="shared" si="45"/>
        <v>84338.73000000001</v>
      </c>
      <c r="H71" s="33" t="s">
        <v>57</v>
      </c>
      <c r="I71" s="318">
        <v>15</v>
      </c>
      <c r="J71" s="31">
        <v>2400</v>
      </c>
      <c r="K71" s="12">
        <f t="shared" si="48"/>
        <v>160</v>
      </c>
      <c r="L71" s="318">
        <v>15</v>
      </c>
      <c r="M71" s="13">
        <f t="shared" si="46"/>
        <v>2299.1752577319594</v>
      </c>
      <c r="N71" s="12">
        <f t="shared" si="49"/>
        <v>153.27835051546396</v>
      </c>
      <c r="O71" s="14">
        <f t="shared" si="50"/>
        <v>0</v>
      </c>
      <c r="P71" s="15">
        <f t="shared" si="51"/>
        <v>-6.7216494845360444</v>
      </c>
      <c r="Q71" s="312">
        <f t="shared" si="52"/>
        <v>0.95798969072164974</v>
      </c>
      <c r="R71" s="615"/>
      <c r="S71" s="34">
        <v>0.37847222222222221</v>
      </c>
      <c r="T71" s="34">
        <v>0.4458333333333333</v>
      </c>
      <c r="U71" s="309">
        <f t="shared" si="53"/>
        <v>5.9999999999999787</v>
      </c>
      <c r="V71" s="319">
        <f t="shared" si="47"/>
        <v>96.999999999999972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-100.82474226804061</v>
      </c>
      <c r="AF71" s="312">
        <f t="shared" si="54"/>
        <v>0.95798969072164974</v>
      </c>
      <c r="AG71" s="615"/>
    </row>
    <row r="72" spans="1:33" ht="15.75" customHeight="1">
      <c r="A72" s="620" t="s">
        <v>183</v>
      </c>
      <c r="B72" s="320" t="s">
        <v>32</v>
      </c>
      <c r="C72" s="616" t="s">
        <v>949</v>
      </c>
      <c r="D72" s="616"/>
      <c r="E72" s="29">
        <v>25.98</v>
      </c>
      <c r="F72" s="320">
        <v>2500</v>
      </c>
      <c r="G72" s="309">
        <f t="shared" si="45"/>
        <v>64950</v>
      </c>
      <c r="H72" s="33">
        <v>2</v>
      </c>
      <c r="I72" s="318">
        <v>17</v>
      </c>
      <c r="J72" s="31">
        <v>2400</v>
      </c>
      <c r="K72" s="12">
        <f t="shared" si="48"/>
        <v>141.1764705882353</v>
      </c>
      <c r="L72" s="318">
        <v>17</v>
      </c>
      <c r="M72" s="13">
        <f t="shared" si="46"/>
        <v>2307.6923076923072</v>
      </c>
      <c r="N72" s="12">
        <f t="shared" si="49"/>
        <v>135.7466063348416</v>
      </c>
      <c r="O72" s="14">
        <f t="shared" si="50"/>
        <v>0</v>
      </c>
      <c r="P72" s="15">
        <f t="shared" si="51"/>
        <v>-5.4298642533937027</v>
      </c>
      <c r="Q72" s="312">
        <f t="shared" si="52"/>
        <v>0.96153846153846123</v>
      </c>
      <c r="R72" s="615"/>
      <c r="S72" s="34">
        <v>0.45138888888888884</v>
      </c>
      <c r="T72" s="34">
        <v>0.49652777777777773</v>
      </c>
      <c r="U72" s="309">
        <f t="shared" si="53"/>
        <v>7.9999999999999716</v>
      </c>
      <c r="V72" s="319">
        <f t="shared" si="47"/>
        <v>65.000000000000014</v>
      </c>
      <c r="W72" s="16">
        <f>T72</f>
        <v>0.49652777777777773</v>
      </c>
      <c r="X72" s="16">
        <f>S73</f>
        <v>0.53680555555555554</v>
      </c>
      <c r="Y72" s="16"/>
      <c r="Z72" s="16"/>
      <c r="AA72" s="617"/>
      <c r="AB72" s="617"/>
      <c r="AC72" s="35"/>
      <c r="AD72" s="18"/>
      <c r="AE72" s="14">
        <f t="shared" si="43"/>
        <v>-92.307692307692832</v>
      </c>
      <c r="AF72" s="312">
        <f t="shared" si="54"/>
        <v>0.96153846153846134</v>
      </c>
      <c r="AG72" s="615"/>
    </row>
    <row r="73" spans="1:33" ht="15.75" customHeight="1">
      <c r="A73" s="620" t="s">
        <v>183</v>
      </c>
      <c r="B73" s="320" t="s">
        <v>32</v>
      </c>
      <c r="C73" s="616" t="s">
        <v>949</v>
      </c>
      <c r="D73" s="616"/>
      <c r="E73" s="29">
        <v>25.98</v>
      </c>
      <c r="F73" s="320">
        <v>3486</v>
      </c>
      <c r="G73" s="309">
        <f t="shared" si="45"/>
        <v>90566.28</v>
      </c>
      <c r="H73" s="33" t="s">
        <v>57</v>
      </c>
      <c r="I73" s="318">
        <v>17</v>
      </c>
      <c r="J73" s="31">
        <v>2400</v>
      </c>
      <c r="K73" s="12">
        <f t="shared" si="48"/>
        <v>141.1764705882353</v>
      </c>
      <c r="L73" s="318">
        <v>17</v>
      </c>
      <c r="M73" s="13">
        <f t="shared" si="46"/>
        <v>2298.4615384615386</v>
      </c>
      <c r="N73" s="12">
        <f t="shared" si="49"/>
        <v>135.20361990950227</v>
      </c>
      <c r="O73" s="14">
        <f t="shared" si="50"/>
        <v>0</v>
      </c>
      <c r="P73" s="15">
        <f t="shared" si="51"/>
        <v>-5.9728506787330389</v>
      </c>
      <c r="Q73" s="312">
        <f t="shared" si="52"/>
        <v>0.95769230769230762</v>
      </c>
      <c r="R73" s="615"/>
      <c r="S73" s="34">
        <v>0.53680555555555554</v>
      </c>
      <c r="T73" s="34">
        <v>0.6</v>
      </c>
      <c r="U73" s="309">
        <f t="shared" si="53"/>
        <v>58.000000000000036</v>
      </c>
      <c r="V73" s="319">
        <f t="shared" si="47"/>
        <v>91</v>
      </c>
      <c r="W73" s="16"/>
      <c r="X73" s="16"/>
      <c r="Y73" s="16"/>
      <c r="Z73" s="16"/>
      <c r="AA73" s="617"/>
      <c r="AB73" s="617"/>
      <c r="AC73" s="35"/>
      <c r="AD73" s="18"/>
      <c r="AE73" s="14">
        <f t="shared" si="43"/>
        <v>-101.53846153846143</v>
      </c>
      <c r="AF73" s="312">
        <f t="shared" si="54"/>
        <v>0.95769230769230773</v>
      </c>
      <c r="AG73" s="615"/>
    </row>
    <row r="74" spans="1:33" ht="15.75" customHeight="1">
      <c r="A74" s="620" t="s">
        <v>183</v>
      </c>
      <c r="B74" s="320" t="s">
        <v>32</v>
      </c>
      <c r="C74" s="622" t="s">
        <v>56</v>
      </c>
      <c r="D74" s="623"/>
      <c r="E74" s="29">
        <v>19.02</v>
      </c>
      <c r="F74" s="320">
        <v>4988</v>
      </c>
      <c r="G74" s="309">
        <f t="shared" si="45"/>
        <v>94871.76</v>
      </c>
      <c r="H74" s="33" t="s">
        <v>57</v>
      </c>
      <c r="I74" s="318">
        <v>14</v>
      </c>
      <c r="J74" s="31">
        <v>2400</v>
      </c>
      <c r="K74" s="12">
        <f t="shared" si="48"/>
        <v>171.42857142857142</v>
      </c>
      <c r="L74" s="318">
        <v>14</v>
      </c>
      <c r="M74" s="13">
        <f t="shared" si="46"/>
        <v>2284.580152671756</v>
      </c>
      <c r="N74" s="12">
        <f t="shared" si="49"/>
        <v>163.18429661941113</v>
      </c>
      <c r="O74" s="14">
        <f t="shared" si="50"/>
        <v>0</v>
      </c>
      <c r="P74" s="15">
        <f t="shared" si="51"/>
        <v>-8.244274809160288</v>
      </c>
      <c r="Q74" s="312">
        <f t="shared" si="52"/>
        <v>0.95190839694656504</v>
      </c>
      <c r="R74" s="615"/>
      <c r="S74" s="34">
        <v>0.60486111111111107</v>
      </c>
      <c r="T74" s="34">
        <v>0.6958333333333333</v>
      </c>
      <c r="U74" s="309">
        <f t="shared" si="53"/>
        <v>6.9999999999999751</v>
      </c>
      <c r="V74" s="319">
        <f t="shared" si="47"/>
        <v>131</v>
      </c>
      <c r="W74" s="16"/>
      <c r="X74" s="16"/>
      <c r="Y74" s="19"/>
      <c r="Z74" s="19"/>
      <c r="AA74" s="624"/>
      <c r="AB74" s="625"/>
      <c r="AC74" s="35"/>
      <c r="AD74" s="18"/>
      <c r="AE74" s="14">
        <f t="shared" si="43"/>
        <v>-115.41984732824403</v>
      </c>
      <c r="AF74" s="312">
        <f t="shared" si="54"/>
        <v>0.95190839694656504</v>
      </c>
      <c r="AG74" s="615"/>
    </row>
    <row r="75" spans="1:33" ht="16.5" customHeight="1">
      <c r="A75" s="621" t="s">
        <v>183</v>
      </c>
      <c r="B75" s="29" t="s">
        <v>175</v>
      </c>
      <c r="C75" s="612"/>
      <c r="D75" s="613"/>
      <c r="E75" s="313"/>
      <c r="F75" s="30"/>
      <c r="G75" s="12"/>
      <c r="H75" s="320"/>
      <c r="I75" s="23">
        <v>15.571428571428571</v>
      </c>
      <c r="J75" s="31">
        <v>2400</v>
      </c>
      <c r="K75" s="12">
        <f t="shared" si="48"/>
        <v>154.12844036697248</v>
      </c>
      <c r="L75" s="23">
        <v>15.571428571428571</v>
      </c>
      <c r="M75" s="13">
        <f>AVERAGE(M68:M74)</f>
        <v>2293.6726171582773</v>
      </c>
      <c r="N75" s="12">
        <f t="shared" si="49"/>
        <v>147.3000763312655</v>
      </c>
      <c r="O75" s="14">
        <f t="shared" si="50"/>
        <v>0</v>
      </c>
      <c r="P75" s="15">
        <f t="shared" si="51"/>
        <v>-6.8283640357069828</v>
      </c>
      <c r="Q75" s="312">
        <f t="shared" si="52"/>
        <v>0.95569692381594873</v>
      </c>
      <c r="R75" s="615"/>
      <c r="S75" s="34"/>
      <c r="T75" s="34"/>
      <c r="U75" s="12"/>
      <c r="V75" s="319"/>
      <c r="W75" s="12"/>
      <c r="X75" s="12"/>
      <c r="Y75" s="24">
        <f>SUM(Y68:Y74)</f>
        <v>0</v>
      </c>
      <c r="Z75" s="24">
        <f>SUM(Z68:Z74)</f>
        <v>0</v>
      </c>
      <c r="AA75" s="614"/>
      <c r="AB75" s="614"/>
      <c r="AC75" s="24">
        <v>7</v>
      </c>
      <c r="AD75" s="24">
        <f>SUM(AD68:AD74)</f>
        <v>0</v>
      </c>
      <c r="AE75" s="14">
        <f t="shared" si="43"/>
        <v>-106.32738284172274</v>
      </c>
      <c r="AF75" s="312">
        <f t="shared" si="54"/>
        <v>0.95569692381594884</v>
      </c>
      <c r="AG75" s="615"/>
    </row>
    <row r="76" spans="1:33">
      <c r="D76" s="25"/>
      <c r="E76" s="25"/>
    </row>
  </sheetData>
  <mergeCells count="197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30:AG38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30:A38"/>
    <mergeCell ref="C30:D30"/>
    <mergeCell ref="R30:R38"/>
    <mergeCell ref="AA30:AB30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53:AG61"/>
    <mergeCell ref="C54:D54"/>
    <mergeCell ref="AA54:AB54"/>
    <mergeCell ref="C55:D55"/>
    <mergeCell ref="AA55:AB55"/>
    <mergeCell ref="AA56:AB56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61:D61"/>
    <mergeCell ref="AA61:AB61"/>
    <mergeCell ref="A62:A67"/>
    <mergeCell ref="C62:D62"/>
    <mergeCell ref="R62:R67"/>
    <mergeCell ref="AA62:AB62"/>
    <mergeCell ref="AA67:AB67"/>
    <mergeCell ref="AA57:AB57"/>
    <mergeCell ref="C58:D58"/>
    <mergeCell ref="AA58:AB58"/>
    <mergeCell ref="C59:D59"/>
    <mergeCell ref="AA59:AB59"/>
    <mergeCell ref="C60:D60"/>
    <mergeCell ref="AA60:AB60"/>
    <mergeCell ref="A53:A61"/>
    <mergeCell ref="C53:D53"/>
    <mergeCell ref="R53:R61"/>
    <mergeCell ref="AA53:AB53"/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8:A75"/>
    <mergeCell ref="C68:D68"/>
    <mergeCell ref="R68:R75"/>
    <mergeCell ref="AA68:AB68"/>
    <mergeCell ref="AG68:AG75"/>
    <mergeCell ref="C69:D69"/>
    <mergeCell ref="AA69:AB69"/>
    <mergeCell ref="C70:D70"/>
    <mergeCell ref="AA70:AB70"/>
    <mergeCell ref="C71:D71"/>
    <mergeCell ref="C75:D75"/>
    <mergeCell ref="AA75:AB75"/>
    <mergeCell ref="AA71:AB71"/>
    <mergeCell ref="C72:D72"/>
    <mergeCell ref="AA72:AB72"/>
    <mergeCell ref="C73:D73"/>
    <mergeCell ref="AA73:AB73"/>
    <mergeCell ref="C74:D74"/>
    <mergeCell ref="AA74:AB74"/>
  </mergeCells>
  <phoneticPr fontId="3" type="noConversion"/>
  <conditionalFormatting sqref="O65:O73 O61:O62 O75 O5:O10 O14:O16 O22:O58">
    <cfRule type="cellIs" dxfId="1021" priority="56" operator="greaterThan">
      <formula>0</formula>
    </cfRule>
  </conditionalFormatting>
  <conditionalFormatting sqref="P5:P8 P65:P66 AE65:AE66 P68:P73 P30:P37 P62 P10 P14:P16 P23:P28 P53:P58 P39:P51 AE5:AE62 AE68:AE75">
    <cfRule type="cellIs" dxfId="1020" priority="60" operator="lessThan">
      <formula>0</formula>
    </cfRule>
  </conditionalFormatting>
  <conditionalFormatting sqref="AF65:AF66 Q65:Q73 Q61:Q62 Q75 Q5:Q10 Q14:Q16 Q22:Q58 AF5:AF62 AF68:AF75">
    <cfRule type="cellIs" dxfId="1019" priority="57" operator="greaterThan">
      <formula>1</formula>
    </cfRule>
    <cfRule type="cellIs" dxfId="1018" priority="58" operator="lessThan">
      <formula>0.8</formula>
    </cfRule>
  </conditionalFormatting>
  <conditionalFormatting sqref="AG15:AG16 R15:R16 AG65 R65:R73 AG61:AG62 R61:R62 R75 AG5:AG10 R5:R10 AG22:AG58 R22:R58">
    <cfRule type="cellIs" dxfId="1017" priority="62" operator="lessThan">
      <formula>0.8</formula>
    </cfRule>
  </conditionalFormatting>
  <conditionalFormatting sqref="AG48">
    <cfRule type="cellIs" dxfId="1016" priority="64" operator="lessThan">
      <formula>0.8</formula>
    </cfRule>
  </conditionalFormatting>
  <conditionalFormatting sqref="AG23:AG28">
    <cfRule type="cellIs" dxfId="1015" priority="61" operator="lessThan">
      <formula>0.8</formula>
    </cfRule>
  </conditionalFormatting>
  <conditionalFormatting sqref="AG30">
    <cfRule type="cellIs" dxfId="1014" priority="63" operator="lessThan">
      <formula>0.8</formula>
    </cfRule>
  </conditionalFormatting>
  <conditionalFormatting sqref="AG39:AG46">
    <cfRule type="cellIs" dxfId="1013" priority="59" operator="lessThan">
      <formula>0.8</formula>
    </cfRule>
  </conditionalFormatting>
  <conditionalFormatting sqref="AE67">
    <cfRule type="cellIs" dxfId="1012" priority="55" operator="lessThan">
      <formula>0</formula>
    </cfRule>
  </conditionalFormatting>
  <conditionalFormatting sqref="AF67">
    <cfRule type="cellIs" dxfId="1011" priority="53" operator="greaterThan">
      <formula>1</formula>
    </cfRule>
    <cfRule type="cellIs" dxfId="1010" priority="54" operator="lessThan">
      <formula>0.8</formula>
    </cfRule>
  </conditionalFormatting>
  <conditionalFormatting sqref="O17:O18">
    <cfRule type="cellIs" dxfId="1009" priority="48" operator="greaterThan">
      <formula>0</formula>
    </cfRule>
  </conditionalFormatting>
  <conditionalFormatting sqref="P17:P18">
    <cfRule type="cellIs" dxfId="1008" priority="51" operator="lessThan">
      <formula>0</formula>
    </cfRule>
  </conditionalFormatting>
  <conditionalFormatting sqref="Q17:Q18">
    <cfRule type="cellIs" dxfId="1007" priority="49" operator="greaterThan">
      <formula>1</formula>
    </cfRule>
    <cfRule type="cellIs" dxfId="1006" priority="50" operator="lessThan">
      <formula>0.8</formula>
    </cfRule>
  </conditionalFormatting>
  <conditionalFormatting sqref="R17:R18 AG17:AG18">
    <cfRule type="cellIs" dxfId="1005" priority="52" operator="lessThan">
      <formula>0.8</formula>
    </cfRule>
  </conditionalFormatting>
  <conditionalFormatting sqref="O11:O13">
    <cfRule type="cellIs" dxfId="1004" priority="44" operator="greaterThan">
      <formula>0</formula>
    </cfRule>
  </conditionalFormatting>
  <conditionalFormatting sqref="P11:P13">
    <cfRule type="cellIs" dxfId="1003" priority="47" operator="lessThan">
      <formula>0</formula>
    </cfRule>
  </conditionalFormatting>
  <conditionalFormatting sqref="Q11:Q13">
    <cfRule type="cellIs" dxfId="1002" priority="45" operator="greaterThan">
      <formula>1</formula>
    </cfRule>
    <cfRule type="cellIs" dxfId="1001" priority="46" operator="lessThan">
      <formula>0.8</formula>
    </cfRule>
  </conditionalFormatting>
  <conditionalFormatting sqref="O59">
    <cfRule type="cellIs" dxfId="1000" priority="39" operator="greaterThan">
      <formula>0</formula>
    </cfRule>
  </conditionalFormatting>
  <conditionalFormatting sqref="P59">
    <cfRule type="cellIs" dxfId="999" priority="42" operator="lessThan">
      <formula>0</formula>
    </cfRule>
  </conditionalFormatting>
  <conditionalFormatting sqref="Q59">
    <cfRule type="cellIs" dxfId="998" priority="40" operator="greaterThan">
      <formula>1</formula>
    </cfRule>
    <cfRule type="cellIs" dxfId="997" priority="41" operator="lessThan">
      <formula>0.8</formula>
    </cfRule>
  </conditionalFormatting>
  <conditionalFormatting sqref="R59 AG59">
    <cfRule type="cellIs" dxfId="996" priority="43" operator="lessThan">
      <formula>0.8</formula>
    </cfRule>
  </conditionalFormatting>
  <conditionalFormatting sqref="O64">
    <cfRule type="cellIs" dxfId="995" priority="34" operator="greaterThan">
      <formula>0</formula>
    </cfRule>
  </conditionalFormatting>
  <conditionalFormatting sqref="P64 AE64">
    <cfRule type="cellIs" dxfId="994" priority="37" operator="lessThan">
      <formula>0</formula>
    </cfRule>
  </conditionalFormatting>
  <conditionalFormatting sqref="Q64 AF64">
    <cfRule type="cellIs" dxfId="993" priority="35" operator="greaterThan">
      <formula>1</formula>
    </cfRule>
    <cfRule type="cellIs" dxfId="992" priority="36" operator="lessThan">
      <formula>0.8</formula>
    </cfRule>
  </conditionalFormatting>
  <conditionalFormatting sqref="R64 AG64">
    <cfRule type="cellIs" dxfId="991" priority="38" operator="lessThan">
      <formula>0.8</formula>
    </cfRule>
  </conditionalFormatting>
  <conditionalFormatting sqref="O74">
    <cfRule type="cellIs" dxfId="990" priority="29" operator="greaterThan">
      <formula>0</formula>
    </cfRule>
  </conditionalFormatting>
  <conditionalFormatting sqref="P74">
    <cfRule type="cellIs" dxfId="989" priority="32" operator="lessThan">
      <formula>0</formula>
    </cfRule>
  </conditionalFormatting>
  <conditionalFormatting sqref="Q74">
    <cfRule type="cellIs" dxfId="988" priority="30" operator="greaterThan">
      <formula>1</formula>
    </cfRule>
    <cfRule type="cellIs" dxfId="987" priority="31" operator="lessThan">
      <formula>0.8</formula>
    </cfRule>
  </conditionalFormatting>
  <conditionalFormatting sqref="R74">
    <cfRule type="cellIs" dxfId="986" priority="33" operator="lessThan">
      <formula>0.8</formula>
    </cfRule>
  </conditionalFormatting>
  <conditionalFormatting sqref="O19:O20">
    <cfRule type="cellIs" dxfId="985" priority="24" operator="greaterThan">
      <formula>0</formula>
    </cfRule>
  </conditionalFormatting>
  <conditionalFormatting sqref="P19:P20">
    <cfRule type="cellIs" dxfId="984" priority="27" operator="lessThan">
      <formula>0</formula>
    </cfRule>
  </conditionalFormatting>
  <conditionalFormatting sqref="Q19:Q20">
    <cfRule type="cellIs" dxfId="983" priority="25" operator="greaterThan">
      <formula>1</formula>
    </cfRule>
    <cfRule type="cellIs" dxfId="982" priority="26" operator="lessThan">
      <formula>0.8</formula>
    </cfRule>
  </conditionalFormatting>
  <conditionalFormatting sqref="R19:R20 AG19:AG20">
    <cfRule type="cellIs" dxfId="981" priority="28" operator="lessThan">
      <formula>0.8</formula>
    </cfRule>
  </conditionalFormatting>
  <conditionalFormatting sqref="O60">
    <cfRule type="cellIs" dxfId="980" priority="19" operator="greaterThan">
      <formula>0</formula>
    </cfRule>
  </conditionalFormatting>
  <conditionalFormatting sqref="P60">
    <cfRule type="cellIs" dxfId="979" priority="22" operator="lessThan">
      <formula>0</formula>
    </cfRule>
  </conditionalFormatting>
  <conditionalFormatting sqref="Q60">
    <cfRule type="cellIs" dxfId="978" priority="20" operator="greaterThan">
      <formula>1</formula>
    </cfRule>
    <cfRule type="cellIs" dxfId="977" priority="21" operator="lessThan">
      <formula>0.8</formula>
    </cfRule>
  </conditionalFormatting>
  <conditionalFormatting sqref="AG60 R60">
    <cfRule type="cellIs" dxfId="976" priority="23" operator="lessThan">
      <formula>0.8</formula>
    </cfRule>
  </conditionalFormatting>
  <conditionalFormatting sqref="O63">
    <cfRule type="cellIs" dxfId="975" priority="14" operator="greaterThan">
      <formula>0</formula>
    </cfRule>
  </conditionalFormatting>
  <conditionalFormatting sqref="P63 AE63">
    <cfRule type="cellIs" dxfId="974" priority="17" operator="lessThan">
      <formula>0</formula>
    </cfRule>
  </conditionalFormatting>
  <conditionalFormatting sqref="Q63 AF63">
    <cfRule type="cellIs" dxfId="973" priority="15" operator="greaterThan">
      <formula>1</formula>
    </cfRule>
    <cfRule type="cellIs" dxfId="972" priority="16" operator="lessThan">
      <formula>0.8</formula>
    </cfRule>
  </conditionalFormatting>
  <conditionalFormatting sqref="R63 AG63">
    <cfRule type="cellIs" dxfId="971" priority="18" operator="lessThan">
      <formula>0.8</formula>
    </cfRule>
  </conditionalFormatting>
  <conditionalFormatting sqref="O21">
    <cfRule type="cellIs" dxfId="970" priority="9" operator="greaterThan">
      <formula>0</formula>
    </cfRule>
  </conditionalFormatting>
  <conditionalFormatting sqref="P21">
    <cfRule type="cellIs" dxfId="969" priority="12" operator="lessThan">
      <formula>0</formula>
    </cfRule>
  </conditionalFormatting>
  <conditionalFormatting sqref="Q21">
    <cfRule type="cellIs" dxfId="968" priority="10" operator="greaterThan">
      <formula>1</formula>
    </cfRule>
    <cfRule type="cellIs" dxfId="967" priority="11" operator="lessThan">
      <formula>0.8</formula>
    </cfRule>
  </conditionalFormatting>
  <conditionalFormatting sqref="AG21 R21">
    <cfRule type="cellIs" dxfId="966" priority="13" operator="lessThan">
      <formula>0.8</formula>
    </cfRule>
  </conditionalFormatting>
  <conditionalFormatting sqref="P9">
    <cfRule type="cellIs" dxfId="965" priority="8" operator="lessThan">
      <formula>0</formula>
    </cfRule>
  </conditionalFormatting>
  <conditionalFormatting sqref="P22">
    <cfRule type="cellIs" dxfId="964" priority="7" operator="lessThan">
      <formula>0</formula>
    </cfRule>
  </conditionalFormatting>
  <conditionalFormatting sqref="P29">
    <cfRule type="cellIs" dxfId="963" priority="6" operator="lessThan">
      <formula>0</formula>
    </cfRule>
  </conditionalFormatting>
  <conditionalFormatting sqref="P38">
    <cfRule type="cellIs" dxfId="962" priority="5" operator="lessThan">
      <formula>0</formula>
    </cfRule>
  </conditionalFormatting>
  <conditionalFormatting sqref="P52">
    <cfRule type="cellIs" dxfId="961" priority="4" operator="lessThan">
      <formula>0</formula>
    </cfRule>
  </conditionalFormatting>
  <conditionalFormatting sqref="P61">
    <cfRule type="cellIs" dxfId="960" priority="3" operator="lessThan">
      <formula>0</formula>
    </cfRule>
  </conditionalFormatting>
  <conditionalFormatting sqref="P67">
    <cfRule type="cellIs" dxfId="959" priority="2" operator="lessThan">
      <formula>0</formula>
    </cfRule>
  </conditionalFormatting>
  <conditionalFormatting sqref="P75">
    <cfRule type="cellIs" dxfId="958" priority="1" operator="lessThan">
      <formula>0</formula>
    </cfRule>
  </conditionalFormatting>
  <dataValidations count="1">
    <dataValidation type="list" allowBlank="1" showInputMessage="1" showErrorMessage="1" sqref="AB9 AA5:AB8 AB66 AA9:AA66 AB11:AB62 AA67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X79" sqref="X7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368</v>
      </c>
      <c r="C3" s="601" t="str">
        <f>TEXT('0614 4度C'!A2,"yyyy.mm.ddaaaa")</f>
        <v>2026.06.14星期日</v>
      </c>
      <c r="D3" s="602"/>
      <c r="E3" s="39" t="s">
        <v>1282</v>
      </c>
      <c r="F3" s="603">
        <f>'0614 4度C'!D1</f>
        <v>214475</v>
      </c>
      <c r="G3" s="604"/>
      <c r="H3" s="39" t="s">
        <v>91</v>
      </c>
      <c r="I3" s="605">
        <f>'0614 4度C'!F1</f>
        <v>7362531.8100000005</v>
      </c>
      <c r="J3" s="606"/>
      <c r="K3" s="40"/>
      <c r="L3" s="41"/>
      <c r="M3" s="42"/>
      <c r="N3" s="42"/>
    </row>
    <row r="4" spans="2:17" ht="28.5" customHeight="1">
      <c r="B4" s="607" t="s">
        <v>92</v>
      </c>
      <c r="C4" s="593" t="s">
        <v>577</v>
      </c>
      <c r="D4" s="594"/>
      <c r="E4" s="610" t="s">
        <v>94</v>
      </c>
      <c r="F4" s="611"/>
      <c r="G4" s="610" t="s">
        <v>95</v>
      </c>
      <c r="H4" s="611"/>
      <c r="I4" s="610" t="s">
        <v>1283</v>
      </c>
      <c r="J4" s="611"/>
      <c r="K4" s="591" t="s">
        <v>97</v>
      </c>
      <c r="L4" s="592"/>
      <c r="M4" s="592" t="s">
        <v>74</v>
      </c>
      <c r="N4" s="592"/>
    </row>
    <row r="5" spans="2:17" ht="28.5" customHeight="1">
      <c r="B5" s="608"/>
      <c r="C5" s="593" t="s">
        <v>1284</v>
      </c>
      <c r="D5" s="594"/>
      <c r="E5" s="593" t="s">
        <v>1285</v>
      </c>
      <c r="F5" s="594"/>
      <c r="G5" s="595" t="s">
        <v>100</v>
      </c>
      <c r="H5" s="596"/>
      <c r="I5" s="597" t="s">
        <v>1286</v>
      </c>
      <c r="J5" s="598"/>
      <c r="K5" s="43" t="s">
        <v>1287</v>
      </c>
      <c r="L5" s="44" t="s">
        <v>78</v>
      </c>
      <c r="M5" s="43" t="s">
        <v>966</v>
      </c>
      <c r="N5" s="44" t="s">
        <v>1288</v>
      </c>
    </row>
    <row r="6" spans="2:17" ht="28.5" customHeight="1">
      <c r="B6" s="608"/>
      <c r="C6" s="593" t="s">
        <v>58</v>
      </c>
      <c r="D6" s="594"/>
      <c r="E6" s="585">
        <f>AVERAGE(D13:M13)</f>
        <v>153.70511552475998</v>
      </c>
      <c r="F6" s="586">
        <f>AVERAGE(D31:O31,D13:J13)</f>
        <v>160.72651472418309</v>
      </c>
      <c r="G6" s="587">
        <f>AVERAGE(D13:J13)</f>
        <v>160.72651472418309</v>
      </c>
      <c r="H6" s="588"/>
      <c r="I6" s="587">
        <f>AVERAGE(K13:M13)</f>
        <v>137.32185072610605</v>
      </c>
      <c r="J6" s="588"/>
      <c r="K6" s="589">
        <f>'0614 4度C'!Y2</f>
        <v>0</v>
      </c>
      <c r="L6" s="574">
        <f>'0614 4度C'!Z2</f>
        <v>0</v>
      </c>
      <c r="M6" s="590">
        <f>'0614 4度C'!AC2</f>
        <v>64</v>
      </c>
      <c r="N6" s="574">
        <f>'0614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147.46159812007767</v>
      </c>
      <c r="F7" s="578">
        <f>AVERAGE(D32:O32,D14:J14)</f>
        <v>154.36950790945534</v>
      </c>
      <c r="G7" s="579">
        <f>AVERAGE(D14:J14)</f>
        <v>154.36950790945534</v>
      </c>
      <c r="H7" s="580"/>
      <c r="I7" s="579">
        <f>AVERAGE(K14:M14)</f>
        <v>131.34314194486305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0.9586226999575842</v>
      </c>
      <c r="F8" s="582">
        <f>AVERAGE(D15:J15,D33:O33)</f>
        <v>0.95955401669691776</v>
      </c>
      <c r="G8" s="583">
        <f>AVERAGE(D15:J15)</f>
        <v>0.95955401669691776</v>
      </c>
      <c r="H8" s="584"/>
      <c r="I8" s="583">
        <f>AVERAGE(K15:M15)</f>
        <v>0.9564496275658062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1289</v>
      </c>
      <c r="N9" s="42"/>
      <c r="O9" s="42"/>
      <c r="P9" s="42"/>
      <c r="Q9" s="42"/>
    </row>
    <row r="10" spans="2:17" ht="30" customHeight="1">
      <c r="B10" s="557" t="s">
        <v>105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1290</v>
      </c>
      <c r="L10" s="563"/>
      <c r="M10" s="564"/>
      <c r="P10" s="48"/>
      <c r="Q10" s="48"/>
    </row>
    <row r="11" spans="2:17" ht="17.25" customHeight="1">
      <c r="B11" s="565" t="s">
        <v>1291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388</v>
      </c>
      <c r="C13" s="55" t="s">
        <v>1292</v>
      </c>
      <c r="D13" s="56">
        <f>SUMIFS('0614 4度C'!$K:$K,'0614 4度C'!$A:$A,"新豐6線",'0614 4度C'!$B:$B,"平均")</f>
        <v>129.03225806451613</v>
      </c>
      <c r="E13" s="57">
        <f>SUMIFS('0614 4度C'!$K:$K,'0614 4度C'!$A:$A,"新豐2線",'0614 4度C'!$B:$B,"平均")</f>
        <v>85.22727272727272</v>
      </c>
      <c r="F13" s="58">
        <f>SUMIFS('0614 4度C'!$K:$K,'0614 4度C'!$A:$A,"新豐5線",'0614 4度C'!$B:$B,"平均")</f>
        <v>87.786259541984734</v>
      </c>
      <c r="G13" s="58">
        <f>SUMIFS('0614 4度C'!$K:$K,'0614 4度C'!$A:$A,"新豐7線",'0614 4度C'!$B:$B,"平均")</f>
        <v>125</v>
      </c>
      <c r="H13" s="58">
        <f>SUMIFS('0614 4度C'!$K:$K,'0614 4度C'!$A:$A,"新豐3線",'0614 4度C'!$B:$B,"平均")</f>
        <v>255.81395348837211</v>
      </c>
      <c r="I13" s="58">
        <f>SUMIFS('0614 4度C'!$K:$K,'0614 4度C'!$A:$A,"新豐1線",'0614 4度C'!$B:$B,"平均")</f>
        <v>123.07692307692308</v>
      </c>
      <c r="J13" s="59">
        <f>SUMIFS('0614 4度C'!$K:$K,'0614 4度C'!$A:$A,"新豐10線",'0614 4度C'!$B:$B,"平均")</f>
        <v>319.14893617021278</v>
      </c>
      <c r="K13" s="60">
        <f>SUMIFS('0614 4度C'!$K:$K,'0614 4度C'!$A:$A,"新豐8線",'0614 4度C'!$B:$B,"平均")</f>
        <v>137.14285714285714</v>
      </c>
      <c r="L13" s="61">
        <f>SUMIFS('0614 4度C'!$K:$K,'0614 4度C'!$A:$A,"新豐9線",'0614 4度C'!$B:$B,"平均")</f>
        <v>124.822695035461</v>
      </c>
      <c r="M13" s="59">
        <f>SUMIFS('0614 4度C'!$K:$K,'0614 4度C'!$A:$A,"新豐4線",'0614 4度C'!$B:$B,"平均")</f>
        <v>150</v>
      </c>
    </row>
    <row r="14" spans="2:17" ht="39.6" customHeight="1">
      <c r="B14" s="570"/>
      <c r="C14" s="62" t="s">
        <v>111</v>
      </c>
      <c r="D14" s="63">
        <f>SUMIFS('0614 4度C'!$N:$N,'0614 4度C'!$A:$A,"新豐6線",'0614 4度C'!$B:$B,"平均")</f>
        <v>124.6529212722761</v>
      </c>
      <c r="E14" s="64">
        <f>SUMIFS('0614 4度C'!$N:$N,'0614 4度C'!$A:$A,"新豐2線",'0614 4度C'!$B:$B,"平均")</f>
        <v>81.480570679843837</v>
      </c>
      <c r="F14" s="64">
        <f>SUMIFS('0614 4度C'!$N:$N,'0614 4度C'!$A:$A,"新豐5線",'0614 4度C'!$B:$B,"平均")</f>
        <v>84.193449581156074</v>
      </c>
      <c r="G14" s="64">
        <f>SUMIFS('0614 4度C'!$N:$N,'0614 4度C'!$A:$A,"新豐7線",'0614 4度C'!$B:$B,"平均")</f>
        <v>119.54059632170772</v>
      </c>
      <c r="H14" s="64">
        <f>SUMIFS('0614 4度C'!$N:$N,'0614 4度C'!$A:$A,"新豐3線",'0614 4度C'!$B:$B,"平均")</f>
        <v>243.74913725959283</v>
      </c>
      <c r="I14" s="64">
        <f>SUMIFS('0614 4度C'!$N:$N,'0614 4度C'!$A:$A,"新豐1線",'0614 4度C'!$B:$B,"平均")</f>
        <v>117.93752404278089</v>
      </c>
      <c r="J14" s="65">
        <f>SUMIFS('0614 4度C'!$N:$N,'0614 4度C'!$A:$A,"新豐10線",'0614 4度C'!$B:$B,"平均")</f>
        <v>309.03235620882998</v>
      </c>
      <c r="K14" s="66">
        <f>SUMIFS('0614 4度C'!$N:$N,'0614 4度C'!$A:$A,"新豐8線",'0614 4度C'!$B:$B,"平均")</f>
        <v>130.93880069918131</v>
      </c>
      <c r="L14" s="67">
        <f>SUMIFS('0614 4度C'!$N:$N,'0614 4度C'!$A:$A,"新豐9線",'0614 4度C'!$B:$B,"平均")</f>
        <v>119.46877027570909</v>
      </c>
      <c r="M14" s="65">
        <f>SUMIFS('0614 4度C'!$N:$N,'0614 4度C'!$A:$A,"新豐4線",'0614 4度C'!$B:$B,"平均")</f>
        <v>143.62185485969871</v>
      </c>
    </row>
    <row r="15" spans="2:17" ht="40.15" customHeight="1">
      <c r="B15" s="571"/>
      <c r="C15" s="68" t="s">
        <v>681</v>
      </c>
      <c r="D15" s="69">
        <f t="shared" ref="D15:M15" si="0">D14/D13</f>
        <v>0.96606013986013983</v>
      </c>
      <c r="E15" s="70">
        <f t="shared" si="0"/>
        <v>0.95603869597683444</v>
      </c>
      <c r="F15" s="70">
        <f t="shared" si="0"/>
        <v>0.95907320827229958</v>
      </c>
      <c r="G15" s="70">
        <f t="shared" si="0"/>
        <v>0.95632477057366183</v>
      </c>
      <c r="H15" s="70">
        <f t="shared" si="0"/>
        <v>0.95283753656022641</v>
      </c>
      <c r="I15" s="70">
        <f t="shared" si="0"/>
        <v>0.95824238284759478</v>
      </c>
      <c r="J15" s="71">
        <f t="shared" si="0"/>
        <v>0.9683013827876672</v>
      </c>
      <c r="K15" s="69">
        <f t="shared" si="0"/>
        <v>0.95476208843153043</v>
      </c>
      <c r="L15" s="70">
        <f t="shared" si="0"/>
        <v>0.9571077618678967</v>
      </c>
      <c r="M15" s="71">
        <f t="shared" si="0"/>
        <v>0.95747903239799148</v>
      </c>
    </row>
    <row r="16" spans="2:17" ht="17.25" customHeight="1">
      <c r="B16" s="572" t="s">
        <v>598</v>
      </c>
      <c r="C16" s="72" t="s">
        <v>1293</v>
      </c>
      <c r="D16" s="73">
        <f>VLOOKUP("新豐6線",'0614 4度C'!$A:$T,19,0)</f>
        <v>0.70833333333333337</v>
      </c>
      <c r="E16" s="74">
        <f>VLOOKUP("新豐2線",'0614 4度C'!$A:$T,19,0)</f>
        <v>8.3333333333333329E-2</v>
      </c>
      <c r="F16" s="74">
        <f>VLOOKUP("新豐5線",'0614 4度C'!$A:$T,19,0)</f>
        <v>8.3333333333333329E-2</v>
      </c>
      <c r="G16" s="74">
        <f>VLOOKUP("新豐7線",'0614 4度C'!$A:$T,19,0)</f>
        <v>0.20833333333333334</v>
      </c>
      <c r="H16" s="74">
        <f>VLOOKUP("新豐3線",'0614 4度C'!$A:$T,19,0)</f>
        <v>8.3333333333333329E-2</v>
      </c>
      <c r="I16" s="74">
        <f>VLOOKUP("新豐1線",'0614 4度C'!$A:$T,19,0)</f>
        <v>0.16666666666666666</v>
      </c>
      <c r="J16" s="75">
        <f>VLOOKUP("新豐10線",'0614 4度C'!$A:$T,19,0)</f>
        <v>0.20833333333333334</v>
      </c>
      <c r="K16" s="76">
        <f>VLOOKUP("新豐8線",'0614 4度C'!$A:$T,19,0)</f>
        <v>8.3333333333333329E-2</v>
      </c>
      <c r="L16" s="77">
        <f>VLOOKUP("新豐9線",'0614 4度C'!$A:$T,19,0)</f>
        <v>8.3333333333333329E-2</v>
      </c>
      <c r="M16" s="78">
        <f>VLOOKUP("新豐4線",'0614 4度C'!$A:$T,19,0)</f>
        <v>8.3333333333333329E-2</v>
      </c>
    </row>
    <row r="17" spans="2:13" ht="17.25" customHeight="1">
      <c r="B17" s="573"/>
      <c r="C17" s="72" t="s">
        <v>115</v>
      </c>
      <c r="D17" s="76">
        <f>LOOKUP(2,1/(('0614 4度C'!$A:$A="新豐6線")*('0614 4度C'!$T:$T&lt;&gt;"")),'0614 4度C'!$T:$T)</f>
        <v>0.90416666666666667</v>
      </c>
      <c r="E17" s="74">
        <f>LOOKUP(2,1/(('0614 4度C'!$A:$A="新豐2線")*('0614 4度C'!$T:$T&lt;&gt;"")),'0614 4度C'!$T:$T)</f>
        <v>0.73333333333333317</v>
      </c>
      <c r="F17" s="74">
        <f>LOOKUP(2,1/(('0614 4度C'!$A:$A="新豐5線")*('0614 4度C'!$T:$T&lt;&gt;"")),'0614 4度C'!$T:$T)</f>
        <v>0.82430555555555551</v>
      </c>
      <c r="G17" s="74">
        <f>LOOKUP(2,1/(('0614 4度C'!$A:$A="新豐7線")*('0614 4度C'!$T:$T&lt;&gt;"")),'0614 4度C'!$T:$T)</f>
        <v>0.84375000000000011</v>
      </c>
      <c r="H17" s="74">
        <f>LOOKUP(2,1/(('0614 4度C'!$A:$A="新豐3線")*('0614 4度C'!$T:$T&lt;&gt;"")),'0614 4度C'!$T:$T)</f>
        <v>0.41736111111111107</v>
      </c>
      <c r="I17" s="74">
        <f>LOOKUP(2,1/(('0614 4度C'!$A:$A="新豐1線")*('0614 4度C'!$T:$T&lt;&gt;"")),'0614 4度C'!$T:$T)</f>
        <v>0.90069444444444446</v>
      </c>
      <c r="J17" s="75">
        <f>LOOKUP(2,1/(('0614 4度C'!$A:$A="新豐10線")*('0614 4度C'!$T:$T&lt;&gt;"")),'0614 4度C'!$T:$T)</f>
        <v>0.41041666666666665</v>
      </c>
      <c r="K17" s="73">
        <f>LOOKUP(2,1/(('0614 4度C'!$A:$A="新豐8線")*('0614 4度C'!$T:$T&lt;&gt;"")),'0614 4度C'!$T:$T)</f>
        <v>0.78333333333333321</v>
      </c>
      <c r="L17" s="74">
        <f>LOOKUP(2,1/(('0614 4度C'!$A:$A="新豐9線")*('0614 4度C'!$T:$T&lt;&gt;"")),'0614 4度C'!$T:$T)</f>
        <v>0.7847222222222221</v>
      </c>
      <c r="M17" s="75">
        <f>LOOKUP(2,1/(('0614 4度C'!$A:$A="新豐4線")*('0614 4度C'!$T:$T&lt;&gt;"")),'0614 4度C'!$T:$T)</f>
        <v>0.79027777777777763</v>
      </c>
    </row>
    <row r="18" spans="2:13" ht="17.25" customHeight="1">
      <c r="B18" s="551" t="s">
        <v>116</v>
      </c>
      <c r="C18" s="79" t="s">
        <v>1294</v>
      </c>
      <c r="D18" s="80">
        <f>SUMIFS('0614 4度C'!$Y:$Y,'0614 4度C'!$A:$A,"新豐6線",'0614 4度C'!$B:$B,"平均")</f>
        <v>0</v>
      </c>
      <c r="E18" s="81">
        <f>SUMIFS('0614 4度C'!$Y:$Y,'0614 4度C'!$A:$A,"新豐2線",'0614 4度C'!$B:$B,"平均")</f>
        <v>0</v>
      </c>
      <c r="F18" s="81">
        <f>SUMIFS('0614 4度C'!$Y:$Y,'0614 4度C'!$A:$A,"新豐5線",'0614 4度C'!$B:$B,"平均")</f>
        <v>0</v>
      </c>
      <c r="G18" s="81">
        <f>SUMIFS('0614 4度C'!$Y:$Y,'0614 4度C'!$A:$A,"新豐7線",'0614 4度C'!$B:$B,"平均")</f>
        <v>0</v>
      </c>
      <c r="H18" s="81">
        <f>SUMIFS('0614 4度C'!$Y:$Y,'0614 4度C'!$A:$A,"新豐3線",'0614 4度C'!$B:$B,"平均")</f>
        <v>0</v>
      </c>
      <c r="I18" s="81">
        <f>SUMIFS('0614 4度C'!$Y:$Y,'0614 4度C'!$A:$A,"新豐1線",'0614 4度C'!$B:$B,"平均")</f>
        <v>0</v>
      </c>
      <c r="J18" s="82">
        <f>SUMIFS('0614 4度C'!$Y:$Y,'0614 4度C'!$A:$A,"新豐10線",'0614 4度C'!$B:$B,"平均")</f>
        <v>0</v>
      </c>
      <c r="K18" s="83">
        <f>SUMIFS('0614 4度C'!$Y:$Y,'0614 4度C'!$A:$A,"新豐8線",'0614 4度C'!$B:$B,"平均")</f>
        <v>0</v>
      </c>
      <c r="L18" s="81">
        <f>SUMIFS('0614 4度C'!$Y:$Y,'0614 4度C'!$A:$A,"新豐9線",'0614 4度C'!$B:$B,"平均")</f>
        <v>0</v>
      </c>
      <c r="M18" s="82">
        <f>SUMIFS('0614 4度C'!$Y:$Y,'0614 4度C'!$A:$A,"新豐4線",'0614 4度C'!$B:$B,"平均")</f>
        <v>0</v>
      </c>
    </row>
    <row r="19" spans="2:13" ht="17.25" customHeight="1">
      <c r="B19" s="552"/>
      <c r="C19" s="79" t="s">
        <v>118</v>
      </c>
      <c r="D19" s="80">
        <f>SUMIFS('0614 4度C'!$Z:$Z,'0614 4度C'!$A:$A,"新豐6線",'0614 4度C'!$B:$B,"平均")</f>
        <v>0</v>
      </c>
      <c r="E19" s="81">
        <f>SUMIFS('0614 4度C'!$Z:$Z,'0614 4度C'!$A:$A,"新豐2線",'0614 4度C'!$B:$B,"平均")</f>
        <v>0</v>
      </c>
      <c r="F19" s="81">
        <f>SUMIFS('0614 4度C'!$Z:$Z,'0614 4度C'!$A:$A,"新豐5線",'0614 4度C'!$B:$B,"平均")</f>
        <v>0</v>
      </c>
      <c r="G19" s="81">
        <f>SUMIFS('0614 4度C'!$Z:$Z,'0614 4度C'!$A:$A,"新豐7線",'0614 4度C'!$B:$B,"平均")</f>
        <v>0</v>
      </c>
      <c r="H19" s="81">
        <f>SUMIFS('0614 4度C'!$Z:$Z,'0614 4度C'!$A:$A,"新豐3線",'0614 4度C'!$B:$B,"平均")</f>
        <v>0</v>
      </c>
      <c r="I19" s="81">
        <f>SUMIFS('0614 4度C'!$Z:$Z,'0614 4度C'!$A:$A,"新豐1線",'0614 4度C'!$B:$B,"平均")</f>
        <v>0</v>
      </c>
      <c r="J19" s="82">
        <f>SUMIFS('0614 4度C'!$Z:$Z,'0614 4度C'!$A:$A,"新豐10線",'0614 4度C'!$B:$B,"平均")</f>
        <v>0</v>
      </c>
      <c r="K19" s="83">
        <f>SUMIFS('0614 4度C'!$Z:$Z,'0614 4度C'!$A:$A,"新豐8線",'0614 4度C'!$B:$B,"平均")</f>
        <v>0</v>
      </c>
      <c r="L19" s="81">
        <f>SUMIFS('0614 4度C'!$Z:$Z,'0614 4度C'!$A:$A,"新豐9線",'0614 4度C'!$B:$B,"平均")</f>
        <v>0</v>
      </c>
      <c r="M19" s="82">
        <f>SUMIFS('0614 4度C'!$Z:$Z,'0614 4度C'!$A:$A,"新豐4線",'0614 4度C'!$B:$B,"平均")</f>
        <v>0</v>
      </c>
    </row>
    <row r="20" spans="2:13" ht="17.25" customHeight="1">
      <c r="B20" s="551" t="s">
        <v>1295</v>
      </c>
      <c r="C20" s="79" t="s">
        <v>1296</v>
      </c>
      <c r="D20" s="80">
        <f>SUMIFS('0614 4度C'!$AC:$AC,'0614 4度C'!$A:$A,"新豐6線",'0614 4度C'!$B:$B,"平均")</f>
        <v>4</v>
      </c>
      <c r="E20" s="81">
        <f>SUMIFS('0614 4度C'!$AC:$AC,'0614 4度C'!$A:$A,"新豐2線",'0614 4度C'!$B:$B,"平均")</f>
        <v>5</v>
      </c>
      <c r="F20" s="81">
        <f>SUMIFS('0614 4度C'!$AC:$AC,'0614 4度C'!$A:$A,"新豐5線",'0614 4度C'!$B:$B,"平均")</f>
        <v>7</v>
      </c>
      <c r="G20" s="81">
        <f>SUMIFS('0614 4度C'!$AC:$AC,'0614 4度C'!$A:$A,"新豐7線",'0614 4度C'!$B:$B,"平均")</f>
        <v>6</v>
      </c>
      <c r="H20" s="81">
        <f>SUMIFS('0614 4度C'!$AC:$AC,'0614 4度C'!$A:$A,"新豐3線",'0614 4度C'!$B:$B,"平均")</f>
        <v>4</v>
      </c>
      <c r="I20" s="81">
        <f>SUMIFS('0614 4度C'!$AC:$AC,'0614 4度C'!$A:$A,"新豐1線",'0614 4度C'!$B:$B,"平均")</f>
        <v>8</v>
      </c>
      <c r="J20" s="82">
        <f>SUMIFS('0614 4度C'!$AC:$AC,'0614 4度C'!$A:$A,"新豐10線",'0614 4度C'!$B:$B,"平均")</f>
        <v>5</v>
      </c>
      <c r="K20" s="83">
        <f>SUMIFS('0614 4度C'!$AC:$AC,'0614 4度C'!$A:$A,"新豐8線",'0614 4度C'!$B:$B,"平均")</f>
        <v>8</v>
      </c>
      <c r="L20" s="81">
        <f>SUMIFS('0614 4度C'!$AC:$AC,'0614 4度C'!$A:$A,"新豐9線",'0614 4度C'!$B:$B,"平均")</f>
        <v>8</v>
      </c>
      <c r="M20" s="82">
        <f>SUMIFS('0614 4度C'!$AC:$AC,'0614 4度C'!$A:$A,"新豐4線",'0614 4度C'!$B:$B,"平均")</f>
        <v>9</v>
      </c>
    </row>
    <row r="21" spans="2:13" ht="17.25" customHeight="1">
      <c r="B21" s="552"/>
      <c r="C21" s="79" t="s">
        <v>1297</v>
      </c>
      <c r="D21" s="80">
        <f>SUMIFS('0614 4度C'!$AD:$AD,'0614 4度C'!$A:$A,"新豐6線",'0614 4度C'!$B:$B,"平均")</f>
        <v>0</v>
      </c>
      <c r="E21" s="81">
        <f>SUMIFS('0614 4度C'!$AD:$AD,'0614 4度C'!$A:$A,"新豐2線",'0614 4度C'!$B:$B,"平均")</f>
        <v>0</v>
      </c>
      <c r="F21" s="81">
        <f>SUMIFS('0614 4度C'!$AD:$AD,'0614 4度C'!$A:$A,"新豐5線",'0614 4度C'!$B:$B,"平均")</f>
        <v>0</v>
      </c>
      <c r="G21" s="81">
        <f>SUMIFS('0614 4度C'!$AD:$AD,'0614 4度C'!$A:$A,"新豐7線",'0614 4度C'!$B:$B,"平均")</f>
        <v>0</v>
      </c>
      <c r="H21" s="81">
        <f>SUMIFS('0614 4度C'!$AD:$AD,'0614 4度C'!$A:$A,"新豐3線",'0614 4度C'!$B:$B,"平均")</f>
        <v>0</v>
      </c>
      <c r="I21" s="81">
        <f>SUMIFS('0614 4度C'!$AD:$AD,'0614 4度C'!$A:$A,"新豐1線",'0614 4度C'!$B:$B,"平均")</f>
        <v>0</v>
      </c>
      <c r="J21" s="82">
        <f>SUMIFS('0614 4度C'!$AD:$AD,'0614 4度C'!$A:$A,"新豐10線",'0614 4度C'!$B:$B,"平均")</f>
        <v>0</v>
      </c>
      <c r="K21" s="83">
        <f>SUMIFS('0614 4度C'!$AD:$AD,'0614 4度C'!$A:$A,"新豐8線",'0614 4度C'!$B:$B,"平均")</f>
        <v>0</v>
      </c>
      <c r="L21" s="81">
        <f>SUMIFS('0614 4度C'!$AD:$AD,'0614 4度C'!$A:$A,"新豐9線",'0614 4度C'!$B:$B,"平均")</f>
        <v>0</v>
      </c>
      <c r="M21" s="82">
        <f>SUMIFS('0614 4度C'!$AD:$AD,'0614 4度C'!$A:$A,"新豐4線",'0614 4度C'!$B:$B,"平均")</f>
        <v>0</v>
      </c>
    </row>
    <row r="22" spans="2:13" ht="17.25" customHeight="1">
      <c r="B22" s="553" t="s">
        <v>1298</v>
      </c>
      <c r="C22" s="554"/>
      <c r="D22" s="84">
        <f>SUMIFS('0614 4度C'!$I:$I,'0614 4度C'!$A:$A,"新豐6線",'0614 4度C'!$B:$B,"平均")</f>
        <v>15.5</v>
      </c>
      <c r="E22" s="85">
        <f>SUMIFS('0614 4度C'!$I:$I,'0614 4度C'!$A:$A,"新豐2線",'0614 4度C'!$B:$B,"平均")</f>
        <v>17.600000000000001</v>
      </c>
      <c r="F22" s="85">
        <f>SUMIFS('0614 4度C'!$I:$I,'0614 4度C'!$A:$A,"新豐5線",'0614 4度C'!$B:$B,"平均")</f>
        <v>18.714285714285715</v>
      </c>
      <c r="G22" s="85">
        <f>SUMIFS('0614 4度C'!$I:$I,'0614 4度C'!$A:$A,"新豐7線",'0614 4度C'!$B:$B,"平均")</f>
        <v>15.333333333333334</v>
      </c>
      <c r="H22" s="85">
        <f>SUMIFS('0614 4度C'!$I:$I,'0614 4度C'!$A:$A,"新豐3線",'0614 4度C'!$B:$B,"平均")</f>
        <v>10.75</v>
      </c>
      <c r="I22" s="85">
        <f>SUMIFS('0614 4度C'!$I:$I,'0614 4度C'!$A:$A,"新豐1線",'0614 4度C'!$B:$B,"平均")</f>
        <v>16.25</v>
      </c>
      <c r="J22" s="86">
        <f>SUMIFS('0614 4度C'!$I:$I,'0614 4度C'!$A:$A,"新豐10線",'0614 4度C'!$B:$B,"平均")</f>
        <v>9.4</v>
      </c>
      <c r="K22" s="84">
        <f>SUMIFS('0614 4度C'!$I:$I,'0614 4度C'!$A:$A,"新豐8線",'0614 4度C'!$B:$B,"平均")</f>
        <v>17.5</v>
      </c>
      <c r="L22" s="85">
        <f>SUMIFS('0614 4度C'!$I:$I,'0614 4度C'!$A:$A,"新豐9線",'0614 4度C'!$B:$B,"平均")</f>
        <v>17.625</v>
      </c>
      <c r="M22" s="86">
        <f>SUMIFS('0614 4度C'!$I:$I,'0614 4度C'!$A:$A,"新豐4線",'0614 4度C'!$B:$B,"平均")</f>
        <v>16</v>
      </c>
    </row>
    <row r="23" spans="2:13" ht="17.25" customHeight="1">
      <c r="B23" s="553" t="s">
        <v>606</v>
      </c>
      <c r="C23" s="554"/>
      <c r="D23" s="87" t="s">
        <v>71</v>
      </c>
      <c r="E23" s="88" t="s">
        <v>72</v>
      </c>
      <c r="F23" s="88" t="s">
        <v>1299</v>
      </c>
      <c r="G23" s="88" t="s">
        <v>607</v>
      </c>
      <c r="H23" s="88" t="s">
        <v>73</v>
      </c>
      <c r="I23" s="88" t="s">
        <v>71</v>
      </c>
      <c r="J23" s="89" t="s">
        <v>73</v>
      </c>
      <c r="K23" s="87" t="s">
        <v>1300</v>
      </c>
      <c r="L23" s="88" t="s">
        <v>398</v>
      </c>
      <c r="M23" s="89" t="s">
        <v>398</v>
      </c>
    </row>
    <row r="24" spans="2:13" ht="17.25" customHeight="1">
      <c r="B24" s="553" t="s">
        <v>1301</v>
      </c>
      <c r="C24" s="554"/>
      <c r="D24" s="87"/>
      <c r="E24" s="88"/>
      <c r="F24" s="88" t="s">
        <v>774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991</v>
      </c>
      <c r="C25" s="556"/>
      <c r="D25" s="90"/>
      <c r="E25" s="91" t="s">
        <v>1302</v>
      </c>
      <c r="F25" s="549" t="s">
        <v>1303</v>
      </c>
      <c r="G25" s="550"/>
      <c r="H25" s="91" t="s">
        <v>1304</v>
      </c>
      <c r="I25" s="91" t="s">
        <v>1305</v>
      </c>
      <c r="J25" s="92" t="s">
        <v>404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5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5" activePane="bottomLeft" state="frozen"/>
      <selection activeCell="M32" sqref="M32"/>
      <selection pane="bottomLeft" activeCell="X79" sqref="X7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1306</v>
      </c>
      <c r="B1" s="1"/>
      <c r="C1" s="2" t="s">
        <v>1307</v>
      </c>
      <c r="D1" s="3">
        <f>SUM(F5:F78)</f>
        <v>214475</v>
      </c>
      <c r="E1" s="295" t="s">
        <v>1308</v>
      </c>
      <c r="F1" s="1">
        <f>SUM(G5:G78)</f>
        <v>7362531.8100000005</v>
      </c>
      <c r="G1" s="1" t="s">
        <v>1309</v>
      </c>
      <c r="H1" s="4">
        <f>L9+L15+L53+L62+L23+L68+L39+L48+L30+L78</f>
        <v>154.67261904761907</v>
      </c>
      <c r="I1" s="663" t="s">
        <v>1310</v>
      </c>
      <c r="J1" s="663"/>
      <c r="K1" s="663"/>
      <c r="L1" s="663" t="s">
        <v>1311</v>
      </c>
      <c r="M1" s="663"/>
      <c r="N1" s="663"/>
      <c r="O1" s="663" t="s">
        <v>1312</v>
      </c>
      <c r="P1" s="663"/>
      <c r="Q1" s="663"/>
      <c r="R1" s="663"/>
      <c r="S1" s="663" t="s">
        <v>1313</v>
      </c>
      <c r="T1" s="663"/>
      <c r="U1" s="663"/>
      <c r="V1" s="663"/>
      <c r="W1" s="663"/>
      <c r="X1" s="663"/>
      <c r="Y1" s="5" t="s">
        <v>1314</v>
      </c>
      <c r="Z1" s="6" t="s">
        <v>1315</v>
      </c>
      <c r="AA1" s="664" t="s">
        <v>1316</v>
      </c>
      <c r="AB1" s="664"/>
      <c r="AC1" s="94" t="s">
        <v>1314</v>
      </c>
      <c r="AD1" s="6" t="s">
        <v>1317</v>
      </c>
      <c r="AE1" s="663" t="s">
        <v>1318</v>
      </c>
      <c r="AF1" s="665"/>
      <c r="AG1" s="665"/>
    </row>
    <row r="2" spans="1:33" ht="26.25" customHeight="1">
      <c r="A2" s="27">
        <v>46187</v>
      </c>
      <c r="B2" s="28" t="s">
        <v>710</v>
      </c>
      <c r="C2" s="2" t="s">
        <v>1319</v>
      </c>
      <c r="D2" s="8">
        <f>AVERAGE(N9,N15,N53,N62,N23,N68,N30,N39,N48,N78)</f>
        <v>147.46159812007767</v>
      </c>
      <c r="E2" s="9" t="s">
        <v>0</v>
      </c>
      <c r="F2" s="10">
        <f>F1/D1</f>
        <v>34.328158573260289</v>
      </c>
      <c r="G2" s="1" t="s">
        <v>1320</v>
      </c>
      <c r="H2" s="308">
        <f>COUNT(H5:H78)</f>
        <v>14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SUM(Y9+Y15+Y23+Y30+Y39+Y48+Y53+Y62+Y68+Y78)</f>
        <v>0</v>
      </c>
      <c r="Z2" s="11">
        <f>SUM(Z9+Z15+Z23+Z30+Z39+Z48+Z53+Z62+Z68+Z78)</f>
        <v>0</v>
      </c>
      <c r="AA2" s="664"/>
      <c r="AB2" s="664"/>
      <c r="AC2" s="95">
        <v>64</v>
      </c>
      <c r="AD2" s="11">
        <f>SUM(AD9+AD15+AD23+AD30+AD39+AD48+AD53+AD62+AD68+AD78)</f>
        <v>0</v>
      </c>
      <c r="AE2" s="665"/>
      <c r="AF2" s="665"/>
      <c r="AG2" s="665"/>
    </row>
    <row r="3" spans="1:33" ht="40.5" customHeight="1">
      <c r="A3" s="617" t="s">
        <v>1321</v>
      </c>
      <c r="B3" s="617" t="s">
        <v>1322</v>
      </c>
      <c r="C3" s="617" t="s">
        <v>1323</v>
      </c>
      <c r="D3" s="617"/>
      <c r="E3" s="661" t="s">
        <v>1324</v>
      </c>
      <c r="F3" s="617" t="s">
        <v>1325</v>
      </c>
      <c r="G3" s="661" t="s">
        <v>1326</v>
      </c>
      <c r="H3" s="654" t="s">
        <v>1327</v>
      </c>
      <c r="I3" s="652" t="s">
        <v>1328</v>
      </c>
      <c r="J3" s="649" t="s">
        <v>1329</v>
      </c>
      <c r="K3" s="659" t="s">
        <v>1319</v>
      </c>
      <c r="L3" s="652" t="s">
        <v>1328</v>
      </c>
      <c r="M3" s="649" t="s">
        <v>1329</v>
      </c>
      <c r="N3" s="659" t="s">
        <v>1319</v>
      </c>
      <c r="O3" s="652" t="s">
        <v>1328</v>
      </c>
      <c r="P3" s="659" t="s">
        <v>1319</v>
      </c>
      <c r="Q3" s="650" t="s">
        <v>1330</v>
      </c>
      <c r="R3" s="630" t="s">
        <v>1331</v>
      </c>
      <c r="S3" s="660" t="s">
        <v>1</v>
      </c>
      <c r="T3" s="660"/>
      <c r="U3" s="654" t="s">
        <v>2</v>
      </c>
      <c r="V3" s="654" t="s">
        <v>1332</v>
      </c>
      <c r="W3" s="617" t="s">
        <v>1333</v>
      </c>
      <c r="X3" s="617"/>
      <c r="Y3" s="655" t="s">
        <v>1334</v>
      </c>
      <c r="Z3" s="614"/>
      <c r="AA3" s="656" t="s">
        <v>1335</v>
      </c>
      <c r="AB3" s="657"/>
      <c r="AC3" s="655" t="s">
        <v>1336</v>
      </c>
      <c r="AD3" s="614"/>
      <c r="AE3" s="649" t="s">
        <v>1329</v>
      </c>
      <c r="AF3" s="650" t="s">
        <v>1330</v>
      </c>
      <c r="AG3" s="630" t="s">
        <v>1331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307" t="s">
        <v>3</v>
      </c>
      <c r="T4" s="307" t="s">
        <v>4</v>
      </c>
      <c r="U4" s="654"/>
      <c r="V4" s="654"/>
      <c r="W4" s="295" t="s">
        <v>1337</v>
      </c>
      <c r="X4" s="295" t="s">
        <v>1338</v>
      </c>
      <c r="Y4" s="298" t="s">
        <v>1296</v>
      </c>
      <c r="Z4" s="298" t="s">
        <v>1339</v>
      </c>
      <c r="AA4" s="658"/>
      <c r="AB4" s="657"/>
      <c r="AC4" s="298" t="s">
        <v>1340</v>
      </c>
      <c r="AD4" s="298" t="s">
        <v>1341</v>
      </c>
      <c r="AE4" s="649"/>
      <c r="AF4" s="650"/>
      <c r="AG4" s="630"/>
    </row>
    <row r="5" spans="1:33">
      <c r="A5" s="651" t="s">
        <v>1342</v>
      </c>
      <c r="B5" s="29" t="s">
        <v>15</v>
      </c>
      <c r="C5" s="653" t="s">
        <v>17</v>
      </c>
      <c r="D5" s="653"/>
      <c r="E5" s="29">
        <v>50.67</v>
      </c>
      <c r="F5" s="307">
        <v>1608</v>
      </c>
      <c r="G5" s="295">
        <f t="shared" ref="G5:G8" si="0">E5*F5</f>
        <v>81477.36</v>
      </c>
      <c r="H5" s="33" t="s">
        <v>57</v>
      </c>
      <c r="I5" s="305">
        <v>15</v>
      </c>
      <c r="J5" s="31">
        <v>2000</v>
      </c>
      <c r="K5" s="12">
        <f t="shared" ref="K5:K68" si="1">J5/I5</f>
        <v>133.33333333333334</v>
      </c>
      <c r="L5" s="305">
        <v>15</v>
      </c>
      <c r="M5" s="13">
        <f t="shared" ref="M5:M8" si="2">F5/V5*60</f>
        <v>1929.6000000000006</v>
      </c>
      <c r="N5" s="12">
        <f t="shared" ref="N5:N68" si="3">M5/L5</f>
        <v>128.64000000000004</v>
      </c>
      <c r="O5" s="14">
        <f t="shared" ref="O5:O68" si="4">L5-I5</f>
        <v>0</v>
      </c>
      <c r="P5" s="15">
        <f t="shared" ref="P5:P68" si="5">N5-K5</f>
        <v>-4.6933333333332996</v>
      </c>
      <c r="Q5" s="294">
        <f t="shared" ref="Q5:Q68" si="6">N5/K5</f>
        <v>0.96480000000000021</v>
      </c>
      <c r="R5" s="615">
        <f>Q9</f>
        <v>0.96606013986013983</v>
      </c>
      <c r="S5" s="34">
        <v>0.70833333333333337</v>
      </c>
      <c r="T5" s="34">
        <v>0.74305555555555558</v>
      </c>
      <c r="U5" s="295"/>
      <c r="V5" s="306">
        <f t="shared" ref="V5:V8" si="7">(T5-S5)*24*60</f>
        <v>49.999999999999986</v>
      </c>
      <c r="W5" s="16"/>
      <c r="X5" s="17"/>
      <c r="Y5" s="17"/>
      <c r="Z5" s="17"/>
      <c r="AA5" s="617"/>
      <c r="AB5" s="617"/>
      <c r="AC5" s="35">
        <v>4</v>
      </c>
      <c r="AD5" s="18"/>
      <c r="AE5" s="14">
        <f t="shared" ref="AE5:AE61" si="8">M5-J5</f>
        <v>-70.399999999999409</v>
      </c>
      <c r="AF5" s="294">
        <f t="shared" ref="AF5:AF68" si="9">M5/J5</f>
        <v>0.96480000000000032</v>
      </c>
      <c r="AG5" s="615">
        <f>AF9</f>
        <v>0.96606013986013972</v>
      </c>
    </row>
    <row r="6" spans="1:33">
      <c r="A6" s="652" t="s">
        <v>1343</v>
      </c>
      <c r="B6" s="29" t="s">
        <v>15</v>
      </c>
      <c r="C6" s="653" t="s">
        <v>26</v>
      </c>
      <c r="D6" s="653"/>
      <c r="E6" s="29">
        <v>50.92</v>
      </c>
      <c r="F6" s="307">
        <v>2504</v>
      </c>
      <c r="G6" s="295">
        <f t="shared" si="0"/>
        <v>127503.68000000001</v>
      </c>
      <c r="H6" s="33" t="s">
        <v>57</v>
      </c>
      <c r="I6" s="305">
        <v>15</v>
      </c>
      <c r="J6" s="31">
        <v>2000</v>
      </c>
      <c r="K6" s="12">
        <f t="shared" si="1"/>
        <v>133.33333333333334</v>
      </c>
      <c r="L6" s="305">
        <v>15</v>
      </c>
      <c r="M6" s="13">
        <f t="shared" si="2"/>
        <v>1926.1538461538453</v>
      </c>
      <c r="N6" s="12">
        <f t="shared" si="3"/>
        <v>128.41025641025635</v>
      </c>
      <c r="O6" s="14">
        <f t="shared" si="4"/>
        <v>0</v>
      </c>
      <c r="P6" s="15">
        <f t="shared" si="5"/>
        <v>-4.9230769230769909</v>
      </c>
      <c r="Q6" s="294">
        <f t="shared" si="6"/>
        <v>0.96307692307692261</v>
      </c>
      <c r="R6" s="615"/>
      <c r="S6" s="34">
        <v>0.74722222222222223</v>
      </c>
      <c r="T6" s="34">
        <v>0.80138888888888893</v>
      </c>
      <c r="U6" s="295">
        <f t="shared" ref="U6:U8" si="10">IF(S6=TIME(17,0,0),"",(S6-T5)*24*60)</f>
        <v>5.9999999999999787</v>
      </c>
      <c r="V6" s="306">
        <f t="shared" si="7"/>
        <v>78.000000000000043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-73.846153846154721</v>
      </c>
      <c r="AF6" s="294">
        <f t="shared" si="9"/>
        <v>0.96307692307692261</v>
      </c>
      <c r="AG6" s="615"/>
    </row>
    <row r="7" spans="1:33">
      <c r="A7" s="652" t="s">
        <v>1343</v>
      </c>
      <c r="B7" s="29" t="s">
        <v>15</v>
      </c>
      <c r="C7" s="644" t="s">
        <v>31</v>
      </c>
      <c r="D7" s="645"/>
      <c r="E7" s="29">
        <v>50.98</v>
      </c>
      <c r="F7" s="307">
        <v>1300</v>
      </c>
      <c r="G7" s="295">
        <f t="shared" si="0"/>
        <v>66274</v>
      </c>
      <c r="H7" s="33">
        <v>2</v>
      </c>
      <c r="I7" s="305">
        <v>16</v>
      </c>
      <c r="J7" s="31">
        <v>2000</v>
      </c>
      <c r="K7" s="12">
        <f t="shared" si="1"/>
        <v>125</v>
      </c>
      <c r="L7" s="305">
        <v>16</v>
      </c>
      <c r="M7" s="13">
        <f t="shared" si="2"/>
        <v>1949.9999999999991</v>
      </c>
      <c r="N7" s="12">
        <f t="shared" si="3"/>
        <v>121.87499999999994</v>
      </c>
      <c r="O7" s="14">
        <f t="shared" si="4"/>
        <v>0</v>
      </c>
      <c r="P7" s="15">
        <f t="shared" si="5"/>
        <v>-3.1250000000000568</v>
      </c>
      <c r="Q7" s="294">
        <f t="shared" si="6"/>
        <v>0.97499999999999953</v>
      </c>
      <c r="R7" s="615"/>
      <c r="S7" s="34">
        <v>0.80486111111111114</v>
      </c>
      <c r="T7" s="34">
        <v>0.83263888888888893</v>
      </c>
      <c r="U7" s="295">
        <f t="shared" si="10"/>
        <v>4.9999999999999822</v>
      </c>
      <c r="V7" s="306">
        <f t="shared" si="7"/>
        <v>40.000000000000014</v>
      </c>
      <c r="W7" s="16">
        <f>T7</f>
        <v>0.83263888888888893</v>
      </c>
      <c r="X7" s="16">
        <f>S8</f>
        <v>0.87361111111111112</v>
      </c>
      <c r="Y7" s="19"/>
      <c r="Z7" s="19"/>
      <c r="AA7" s="624"/>
      <c r="AB7" s="625"/>
      <c r="AC7" s="35"/>
      <c r="AD7" s="20"/>
      <c r="AE7" s="14">
        <f t="shared" si="8"/>
        <v>-50.000000000000909</v>
      </c>
      <c r="AF7" s="294">
        <f t="shared" si="9"/>
        <v>0.97499999999999953</v>
      </c>
      <c r="AG7" s="615"/>
    </row>
    <row r="8" spans="1:33">
      <c r="A8" s="652" t="s">
        <v>1342</v>
      </c>
      <c r="B8" s="29" t="s">
        <v>15</v>
      </c>
      <c r="C8" s="644" t="s">
        <v>31</v>
      </c>
      <c r="D8" s="645"/>
      <c r="E8" s="29">
        <v>50.98</v>
      </c>
      <c r="F8" s="307">
        <v>1410</v>
      </c>
      <c r="G8" s="295">
        <f t="shared" si="0"/>
        <v>71881.799999999988</v>
      </c>
      <c r="H8" s="33" t="s">
        <v>57</v>
      </c>
      <c r="I8" s="305">
        <v>16</v>
      </c>
      <c r="J8" s="31">
        <v>2000</v>
      </c>
      <c r="K8" s="12">
        <f t="shared" si="1"/>
        <v>125</v>
      </c>
      <c r="L8" s="305">
        <v>16</v>
      </c>
      <c r="M8" s="13">
        <f t="shared" si="2"/>
        <v>1922.7272727272727</v>
      </c>
      <c r="N8" s="12">
        <f t="shared" si="3"/>
        <v>120.17045454545455</v>
      </c>
      <c r="O8" s="14">
        <f t="shared" si="4"/>
        <v>0</v>
      </c>
      <c r="P8" s="15">
        <f t="shared" si="5"/>
        <v>-4.8295454545454533</v>
      </c>
      <c r="Q8" s="294">
        <f t="shared" si="6"/>
        <v>0.96136363636363642</v>
      </c>
      <c r="R8" s="615"/>
      <c r="S8" s="34">
        <v>0.87361111111111112</v>
      </c>
      <c r="T8" s="34">
        <v>0.90416666666666667</v>
      </c>
      <c r="U8" s="295">
        <f t="shared" si="10"/>
        <v>58.99999999999995</v>
      </c>
      <c r="V8" s="306">
        <f t="shared" si="7"/>
        <v>44</v>
      </c>
      <c r="W8" s="21"/>
      <c r="X8" s="21"/>
      <c r="Y8" s="22"/>
      <c r="Z8" s="22"/>
      <c r="AA8" s="624"/>
      <c r="AB8" s="625"/>
      <c r="AC8" s="35"/>
      <c r="AD8" s="20"/>
      <c r="AE8" s="14">
        <f t="shared" si="8"/>
        <v>-77.272727272727252</v>
      </c>
      <c r="AF8" s="294">
        <f t="shared" si="9"/>
        <v>0.96136363636363642</v>
      </c>
      <c r="AG8" s="615"/>
    </row>
    <row r="9" spans="1:33">
      <c r="A9" s="652" t="s">
        <v>1342</v>
      </c>
      <c r="B9" s="29" t="s">
        <v>1344</v>
      </c>
      <c r="C9" s="618"/>
      <c r="D9" s="618"/>
      <c r="E9" s="297"/>
      <c r="F9" s="30"/>
      <c r="G9" s="12"/>
      <c r="H9" s="307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1932.1202797202795</v>
      </c>
      <c r="N9" s="12">
        <f t="shared" si="3"/>
        <v>124.6529212722761</v>
      </c>
      <c r="O9" s="14">
        <f t="shared" si="4"/>
        <v>0</v>
      </c>
      <c r="P9" s="15">
        <f t="shared" si="5"/>
        <v>-4.379336792240025</v>
      </c>
      <c r="Q9" s="294">
        <f t="shared" si="6"/>
        <v>0.96606013986013983</v>
      </c>
      <c r="R9" s="615"/>
      <c r="S9" s="34"/>
      <c r="T9" s="34"/>
      <c r="U9" s="295"/>
      <c r="V9" s="306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-67.879720279720459</v>
      </c>
      <c r="AF9" s="294">
        <f t="shared" si="9"/>
        <v>0.96606013986013972</v>
      </c>
      <c r="AG9" s="615"/>
    </row>
    <row r="10" spans="1:33" ht="15.75" customHeight="1">
      <c r="A10" s="648" t="s">
        <v>1345</v>
      </c>
      <c r="B10" s="29" t="s">
        <v>19</v>
      </c>
      <c r="C10" s="644" t="s">
        <v>20</v>
      </c>
      <c r="D10" s="645"/>
      <c r="E10" s="29">
        <v>39.619999999999997</v>
      </c>
      <c r="F10" s="307">
        <v>3300</v>
      </c>
      <c r="G10" s="295">
        <f t="shared" ref="G10:G14" si="11">E10*F10</f>
        <v>130745.99999999999</v>
      </c>
      <c r="H10" s="33">
        <v>2</v>
      </c>
      <c r="I10" s="305">
        <v>19</v>
      </c>
      <c r="J10" s="31">
        <v>1500</v>
      </c>
      <c r="K10" s="12">
        <f t="shared" si="1"/>
        <v>78.94736842105263</v>
      </c>
      <c r="L10" s="305">
        <v>19</v>
      </c>
      <c r="M10" s="13">
        <f t="shared" ref="M10:M14" si="12">F10/V10*60</f>
        <v>1434.7826086956525</v>
      </c>
      <c r="N10" s="12">
        <f t="shared" si="3"/>
        <v>75.514874141876447</v>
      </c>
      <c r="O10" s="14">
        <f t="shared" si="4"/>
        <v>0</v>
      </c>
      <c r="P10" s="15">
        <f t="shared" si="5"/>
        <v>-3.4324942791761828</v>
      </c>
      <c r="Q10" s="294">
        <f t="shared" si="6"/>
        <v>0.95652173913043503</v>
      </c>
      <c r="R10" s="615">
        <f>Q15</f>
        <v>0.95603869597683444</v>
      </c>
      <c r="S10" s="34">
        <v>8.3333333333333329E-2</v>
      </c>
      <c r="T10" s="34">
        <v>0.17916666666666664</v>
      </c>
      <c r="U10" s="295"/>
      <c r="V10" s="306">
        <f t="shared" ref="V10:V14" si="13">(T10-S10)*24*60</f>
        <v>137.99999999999997</v>
      </c>
      <c r="W10" s="16">
        <f>T10</f>
        <v>0.17916666666666664</v>
      </c>
      <c r="X10" s="16">
        <f>S11</f>
        <v>0.19652777777777772</v>
      </c>
      <c r="Y10" s="16"/>
      <c r="Z10" s="16"/>
      <c r="AA10" s="617"/>
      <c r="AB10" s="617"/>
      <c r="AC10" s="35">
        <v>5</v>
      </c>
      <c r="AD10" s="18"/>
      <c r="AE10" s="14">
        <f t="shared" si="8"/>
        <v>-65.21739130434753</v>
      </c>
      <c r="AF10" s="294">
        <f t="shared" si="9"/>
        <v>0.95652173913043503</v>
      </c>
      <c r="AG10" s="615">
        <f>AF15</f>
        <v>0.95603869597683444</v>
      </c>
    </row>
    <row r="11" spans="1:33" ht="15.75" customHeight="1">
      <c r="A11" s="648" t="s">
        <v>1345</v>
      </c>
      <c r="B11" s="29" t="s">
        <v>19</v>
      </c>
      <c r="C11" s="644" t="s">
        <v>83</v>
      </c>
      <c r="D11" s="645"/>
      <c r="E11" s="29">
        <v>39.46</v>
      </c>
      <c r="F11" s="307">
        <v>5453</v>
      </c>
      <c r="G11" s="295">
        <f t="shared" si="11"/>
        <v>215175.38</v>
      </c>
      <c r="H11" s="33" t="s">
        <v>57</v>
      </c>
      <c r="I11" s="305">
        <v>16</v>
      </c>
      <c r="J11" s="31">
        <v>1500</v>
      </c>
      <c r="K11" s="12">
        <f t="shared" si="1"/>
        <v>93.75</v>
      </c>
      <c r="L11" s="305">
        <v>16</v>
      </c>
      <c r="M11" s="13">
        <f t="shared" si="12"/>
        <v>1434.9999999999995</v>
      </c>
      <c r="N11" s="12">
        <f t="shared" si="3"/>
        <v>89.687499999999972</v>
      </c>
      <c r="O11" s="14">
        <f t="shared" si="4"/>
        <v>0</v>
      </c>
      <c r="P11" s="15">
        <f t="shared" si="5"/>
        <v>-4.0625000000000284</v>
      </c>
      <c r="Q11" s="294">
        <f t="shared" si="6"/>
        <v>0.95666666666666633</v>
      </c>
      <c r="R11" s="615"/>
      <c r="S11" s="34">
        <v>0.19652777777777772</v>
      </c>
      <c r="T11" s="34">
        <v>0.35486111111111107</v>
      </c>
      <c r="U11" s="295">
        <f t="shared" ref="U11:U14" si="14">IF(S11=TIME(17,0,0),"",(S11-T10)*24*60)</f>
        <v>24.99999999999995</v>
      </c>
      <c r="V11" s="306">
        <f t="shared" si="13"/>
        <v>228.00000000000006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-65.000000000000455</v>
      </c>
      <c r="AF11" s="294">
        <f t="shared" si="9"/>
        <v>0.95666666666666633</v>
      </c>
      <c r="AG11" s="615"/>
    </row>
    <row r="12" spans="1:33" ht="15.75" customHeight="1">
      <c r="A12" s="648" t="s">
        <v>1345</v>
      </c>
      <c r="B12" s="29" t="s">
        <v>19</v>
      </c>
      <c r="C12" s="644" t="s">
        <v>21</v>
      </c>
      <c r="D12" s="645"/>
      <c r="E12" s="29">
        <v>39.799999999999997</v>
      </c>
      <c r="F12" s="307">
        <v>4800</v>
      </c>
      <c r="G12" s="295">
        <f t="shared" si="11"/>
        <v>191040</v>
      </c>
      <c r="H12" s="33">
        <v>2</v>
      </c>
      <c r="I12" s="305">
        <v>17</v>
      </c>
      <c r="J12" s="31">
        <v>1500</v>
      </c>
      <c r="K12" s="12">
        <f t="shared" si="1"/>
        <v>88.235294117647058</v>
      </c>
      <c r="L12" s="305">
        <v>17</v>
      </c>
      <c r="M12" s="13">
        <f t="shared" si="12"/>
        <v>1432.8358208955224</v>
      </c>
      <c r="N12" s="12">
        <f t="shared" si="3"/>
        <v>84.284460052677787</v>
      </c>
      <c r="O12" s="14">
        <f t="shared" si="4"/>
        <v>0</v>
      </c>
      <c r="P12" s="15">
        <f t="shared" si="5"/>
        <v>-3.9508340649692713</v>
      </c>
      <c r="Q12" s="294">
        <f t="shared" si="6"/>
        <v>0.95522388059701491</v>
      </c>
      <c r="R12" s="615"/>
      <c r="S12" s="34">
        <v>0.35833333333333328</v>
      </c>
      <c r="T12" s="34">
        <v>0.49791666666666662</v>
      </c>
      <c r="U12" s="295">
        <f t="shared" si="14"/>
        <v>4.9999999999999822</v>
      </c>
      <c r="V12" s="306">
        <f t="shared" si="13"/>
        <v>201</v>
      </c>
      <c r="W12" s="16">
        <f>T12</f>
        <v>0.49791666666666662</v>
      </c>
      <c r="X12" s="16">
        <f>S13</f>
        <v>0.54027777777777775</v>
      </c>
      <c r="Y12" s="16"/>
      <c r="Z12" s="16"/>
      <c r="AA12" s="617"/>
      <c r="AB12" s="617"/>
      <c r="AC12" s="35"/>
      <c r="AD12" s="18"/>
      <c r="AE12" s="14">
        <f t="shared" si="8"/>
        <v>-67.164179104477626</v>
      </c>
      <c r="AF12" s="294">
        <f t="shared" si="9"/>
        <v>0.95522388059701491</v>
      </c>
      <c r="AG12" s="615"/>
    </row>
    <row r="13" spans="1:33" ht="15.75" customHeight="1">
      <c r="A13" s="648" t="s">
        <v>1345</v>
      </c>
      <c r="B13" s="29" t="s">
        <v>19</v>
      </c>
      <c r="C13" s="644" t="s">
        <v>21</v>
      </c>
      <c r="D13" s="645"/>
      <c r="E13" s="29">
        <v>39.799999999999997</v>
      </c>
      <c r="F13" s="307">
        <v>3768</v>
      </c>
      <c r="G13" s="295">
        <f t="shared" si="11"/>
        <v>149966.39999999999</v>
      </c>
      <c r="H13" s="33" t="s">
        <v>57</v>
      </c>
      <c r="I13" s="305">
        <v>17</v>
      </c>
      <c r="J13" s="31">
        <v>1500</v>
      </c>
      <c r="K13" s="12">
        <f t="shared" si="1"/>
        <v>88.235294117647058</v>
      </c>
      <c r="L13" s="305">
        <v>17</v>
      </c>
      <c r="M13" s="13">
        <f t="shared" si="12"/>
        <v>1430.886075949368</v>
      </c>
      <c r="N13" s="12">
        <f t="shared" si="3"/>
        <v>84.169769173492227</v>
      </c>
      <c r="O13" s="14">
        <f t="shared" si="4"/>
        <v>0</v>
      </c>
      <c r="P13" s="15">
        <f t="shared" si="5"/>
        <v>-4.0655249441548307</v>
      </c>
      <c r="Q13" s="294">
        <f t="shared" si="6"/>
        <v>0.95392405063291197</v>
      </c>
      <c r="R13" s="615"/>
      <c r="S13" s="34">
        <v>0.54027777777777775</v>
      </c>
      <c r="T13" s="34">
        <v>0.64999999999999991</v>
      </c>
      <c r="U13" s="295">
        <f t="shared" si="14"/>
        <v>61.000000000000021</v>
      </c>
      <c r="V13" s="306">
        <f t="shared" si="13"/>
        <v>157.99999999999991</v>
      </c>
      <c r="W13" s="16"/>
      <c r="X13" s="16"/>
      <c r="Y13" s="16"/>
      <c r="Z13" s="16"/>
      <c r="AA13" s="624"/>
      <c r="AB13" s="625"/>
      <c r="AC13" s="35"/>
      <c r="AD13" s="18"/>
      <c r="AE13" s="14">
        <f t="shared" si="8"/>
        <v>-69.113924050632022</v>
      </c>
      <c r="AF13" s="294">
        <f t="shared" si="9"/>
        <v>0.95392405063291197</v>
      </c>
      <c r="AG13" s="615"/>
    </row>
    <row r="14" spans="1:33" ht="15.75" customHeight="1">
      <c r="A14" s="648" t="s">
        <v>1345</v>
      </c>
      <c r="B14" s="29" t="s">
        <v>19</v>
      </c>
      <c r="C14" s="644" t="s">
        <v>20</v>
      </c>
      <c r="D14" s="645"/>
      <c r="E14" s="29">
        <v>39.619999999999997</v>
      </c>
      <c r="F14" s="307">
        <v>2682</v>
      </c>
      <c r="G14" s="295">
        <f t="shared" si="11"/>
        <v>106260.84</v>
      </c>
      <c r="H14" s="33" t="s">
        <v>57</v>
      </c>
      <c r="I14" s="305">
        <v>19</v>
      </c>
      <c r="J14" s="31">
        <v>1500</v>
      </c>
      <c r="K14" s="12">
        <f t="shared" si="1"/>
        <v>78.94736842105263</v>
      </c>
      <c r="L14" s="305">
        <v>19</v>
      </c>
      <c r="M14" s="13">
        <f t="shared" si="12"/>
        <v>1436.7857142857154</v>
      </c>
      <c r="N14" s="12">
        <f t="shared" si="3"/>
        <v>75.620300751879753</v>
      </c>
      <c r="O14" s="14">
        <f t="shared" si="4"/>
        <v>0</v>
      </c>
      <c r="P14" s="15">
        <f t="shared" si="5"/>
        <v>-3.3270676691728767</v>
      </c>
      <c r="Q14" s="294">
        <f t="shared" si="6"/>
        <v>0.95785714285714352</v>
      </c>
      <c r="R14" s="615"/>
      <c r="S14" s="34">
        <v>0.65555555555555545</v>
      </c>
      <c r="T14" s="34">
        <v>0.73333333333333317</v>
      </c>
      <c r="U14" s="295">
        <f t="shared" si="14"/>
        <v>7.9999999999999716</v>
      </c>
      <c r="V14" s="306">
        <f t="shared" si="13"/>
        <v>111.99999999999991</v>
      </c>
      <c r="W14" s="16"/>
      <c r="X14" s="16"/>
      <c r="Y14" s="19"/>
      <c r="Z14" s="19"/>
      <c r="AA14" s="624"/>
      <c r="AB14" s="625"/>
      <c r="AC14" s="35"/>
      <c r="AD14" s="18"/>
      <c r="AE14" s="14">
        <f t="shared" si="8"/>
        <v>-63.214285714284642</v>
      </c>
      <c r="AF14" s="294">
        <f t="shared" si="9"/>
        <v>0.95785714285714352</v>
      </c>
      <c r="AG14" s="615"/>
    </row>
    <row r="15" spans="1:33" ht="16.5" customHeight="1">
      <c r="A15" s="648" t="s">
        <v>1345</v>
      </c>
      <c r="B15" s="29" t="s">
        <v>1346</v>
      </c>
      <c r="C15" s="618"/>
      <c r="D15" s="618"/>
      <c r="E15" s="297"/>
      <c r="F15" s="31"/>
      <c r="G15" s="13"/>
      <c r="H15" s="307"/>
      <c r="I15" s="23">
        <v>17.600000000000001</v>
      </c>
      <c r="J15" s="31">
        <v>1500</v>
      </c>
      <c r="K15" s="12">
        <f t="shared" si="1"/>
        <v>85.22727272727272</v>
      </c>
      <c r="L15" s="23">
        <v>17.600000000000001</v>
      </c>
      <c r="M15" s="13">
        <f>AVERAGE(M10:M14)</f>
        <v>1434.0580439652517</v>
      </c>
      <c r="N15" s="12">
        <f t="shared" si="3"/>
        <v>81.480570679843837</v>
      </c>
      <c r="O15" s="14">
        <f t="shared" si="4"/>
        <v>0</v>
      </c>
      <c r="P15" s="15">
        <f t="shared" si="5"/>
        <v>-3.746702047428883</v>
      </c>
      <c r="Q15" s="294">
        <f t="shared" si="6"/>
        <v>0.95603869597683444</v>
      </c>
      <c r="R15" s="615"/>
      <c r="S15" s="34"/>
      <c r="T15" s="34"/>
      <c r="U15" s="12"/>
      <c r="V15" s="306"/>
      <c r="W15" s="12"/>
      <c r="X15" s="12"/>
      <c r="Y15" s="24">
        <f>SUM(Y10:Y14)</f>
        <v>0</v>
      </c>
      <c r="Z15" s="24">
        <f>SUM(Z10:Z14)</f>
        <v>0</v>
      </c>
      <c r="AA15" s="614"/>
      <c r="AB15" s="614"/>
      <c r="AC15" s="24">
        <v>5</v>
      </c>
      <c r="AD15" s="24">
        <f>SUM(AD10:AD14)</f>
        <v>0</v>
      </c>
      <c r="AE15" s="14">
        <f t="shared" si="8"/>
        <v>-65.941956034748273</v>
      </c>
      <c r="AF15" s="294">
        <f t="shared" si="9"/>
        <v>0.95603869597683444</v>
      </c>
      <c r="AG15" s="615"/>
    </row>
    <row r="16" spans="1:33" ht="16.5" customHeight="1">
      <c r="A16" s="646" t="s">
        <v>1347</v>
      </c>
      <c r="B16" s="307" t="s">
        <v>22</v>
      </c>
      <c r="C16" s="640" t="s">
        <v>23</v>
      </c>
      <c r="D16" s="640"/>
      <c r="E16" s="29">
        <v>41</v>
      </c>
      <c r="F16" s="307">
        <v>2176</v>
      </c>
      <c r="G16" s="295">
        <f t="shared" ref="G16:G22" si="15">E16*F16</f>
        <v>89216</v>
      </c>
      <c r="H16" s="33" t="s">
        <v>57</v>
      </c>
      <c r="I16" s="305">
        <v>26</v>
      </c>
      <c r="J16" s="31">
        <v>1500</v>
      </c>
      <c r="K16" s="12">
        <f t="shared" si="1"/>
        <v>57.692307692307693</v>
      </c>
      <c r="L16" s="305">
        <v>26</v>
      </c>
      <c r="M16" s="13">
        <f t="shared" ref="M16:M22" si="16">F16/V16*60</f>
        <v>1434.7252747252751</v>
      </c>
      <c r="N16" s="12">
        <f t="shared" si="3"/>
        <v>55.181741335587503</v>
      </c>
      <c r="O16" s="14">
        <f t="shared" si="4"/>
        <v>0</v>
      </c>
      <c r="P16" s="15">
        <f t="shared" si="5"/>
        <v>-2.5105663567201901</v>
      </c>
      <c r="Q16" s="294">
        <f t="shared" si="6"/>
        <v>0.9564835164835167</v>
      </c>
      <c r="R16" s="615">
        <f>Q23</f>
        <v>0.95907320827229958</v>
      </c>
      <c r="S16" s="34">
        <v>8.3333333333333329E-2</v>
      </c>
      <c r="T16" s="34">
        <v>0.14652777777777776</v>
      </c>
      <c r="U16" s="295"/>
      <c r="V16" s="306">
        <f t="shared" ref="V16:V22" si="17">(T16-S16)*24*60</f>
        <v>90.999999999999972</v>
      </c>
      <c r="W16" s="16">
        <f>T16</f>
        <v>0.14652777777777776</v>
      </c>
      <c r="X16" s="16">
        <f>S17</f>
        <v>0.16597222222222219</v>
      </c>
      <c r="Y16" s="21"/>
      <c r="Z16" s="21"/>
      <c r="AA16" s="617"/>
      <c r="AB16" s="617"/>
      <c r="AC16" s="35">
        <v>7</v>
      </c>
      <c r="AD16" s="18"/>
      <c r="AE16" s="14">
        <f t="shared" si="8"/>
        <v>-65.274725274724915</v>
      </c>
      <c r="AF16" s="294">
        <f t="shared" si="9"/>
        <v>0.9564835164835167</v>
      </c>
      <c r="AG16" s="615">
        <f>AF23</f>
        <v>0.95907320827229969</v>
      </c>
    </row>
    <row r="17" spans="1:33" ht="16.5" customHeight="1">
      <c r="A17" s="647" t="s">
        <v>8</v>
      </c>
      <c r="B17" s="307" t="s">
        <v>22</v>
      </c>
      <c r="C17" s="640" t="s">
        <v>87</v>
      </c>
      <c r="D17" s="640"/>
      <c r="E17" s="29">
        <v>38.619999999999997</v>
      </c>
      <c r="F17" s="307">
        <v>2602</v>
      </c>
      <c r="G17" s="295">
        <f t="shared" si="15"/>
        <v>100489.23999999999</v>
      </c>
      <c r="H17" s="33" t="s">
        <v>57</v>
      </c>
      <c r="I17" s="305">
        <v>24</v>
      </c>
      <c r="J17" s="31">
        <v>1500</v>
      </c>
      <c r="K17" s="12">
        <f t="shared" si="1"/>
        <v>62.5</v>
      </c>
      <c r="L17" s="305">
        <v>24</v>
      </c>
      <c r="M17" s="13">
        <f t="shared" si="16"/>
        <v>1432.2935779816512</v>
      </c>
      <c r="N17" s="12">
        <f t="shared" si="3"/>
        <v>59.678899082568797</v>
      </c>
      <c r="O17" s="14">
        <f t="shared" si="4"/>
        <v>0</v>
      </c>
      <c r="P17" s="15">
        <f t="shared" si="5"/>
        <v>-2.8211009174312025</v>
      </c>
      <c r="Q17" s="294">
        <f t="shared" si="6"/>
        <v>0.95486238532110079</v>
      </c>
      <c r="R17" s="615"/>
      <c r="S17" s="34">
        <v>0.16597222222222219</v>
      </c>
      <c r="T17" s="34">
        <v>0.24166666666666664</v>
      </c>
      <c r="U17" s="295">
        <f t="shared" ref="U17:U22" si="18">IF(S17=TIME(17,0,0),"",(S17-T16)*24*60)</f>
        <v>27.999999999999979</v>
      </c>
      <c r="V17" s="306">
        <f t="shared" si="17"/>
        <v>109.00000000000001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-67.706422018348803</v>
      </c>
      <c r="AF17" s="294">
        <f t="shared" si="9"/>
        <v>0.95486238532110079</v>
      </c>
      <c r="AG17" s="615"/>
    </row>
    <row r="18" spans="1:33" ht="16.5" customHeight="1">
      <c r="A18" s="647" t="s">
        <v>8</v>
      </c>
      <c r="B18" s="307" t="s">
        <v>15</v>
      </c>
      <c r="C18" s="640" t="s">
        <v>86</v>
      </c>
      <c r="D18" s="640"/>
      <c r="E18" s="29">
        <v>37.03</v>
      </c>
      <c r="F18" s="307">
        <v>3668</v>
      </c>
      <c r="G18" s="295">
        <f t="shared" si="15"/>
        <v>135826.04</v>
      </c>
      <c r="H18" s="33" t="s">
        <v>57</v>
      </c>
      <c r="I18" s="305">
        <v>13</v>
      </c>
      <c r="J18" s="31">
        <v>1500</v>
      </c>
      <c r="K18" s="12">
        <f t="shared" si="1"/>
        <v>115.38461538461539</v>
      </c>
      <c r="L18" s="305">
        <v>13</v>
      </c>
      <c r="M18" s="13">
        <f t="shared" si="16"/>
        <v>1438.4313725490197</v>
      </c>
      <c r="N18" s="12">
        <f t="shared" si="3"/>
        <v>110.64856711915536</v>
      </c>
      <c r="O18" s="14">
        <f t="shared" si="4"/>
        <v>0</v>
      </c>
      <c r="P18" s="15">
        <f t="shared" si="5"/>
        <v>-4.7360482654600276</v>
      </c>
      <c r="Q18" s="294">
        <f t="shared" si="6"/>
        <v>0.95895424836601306</v>
      </c>
      <c r="R18" s="615"/>
      <c r="S18" s="34">
        <v>0.24583333333333332</v>
      </c>
      <c r="T18" s="34">
        <v>0.3520833333333333</v>
      </c>
      <c r="U18" s="295">
        <f t="shared" si="18"/>
        <v>6.0000000000000187</v>
      </c>
      <c r="V18" s="306">
        <f t="shared" si="17"/>
        <v>153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-61.56862745098033</v>
      </c>
      <c r="AF18" s="294">
        <f t="shared" si="9"/>
        <v>0.95895424836601306</v>
      </c>
      <c r="AG18" s="615"/>
    </row>
    <row r="19" spans="1:33" ht="16.5" customHeight="1">
      <c r="A19" s="647" t="s">
        <v>1348</v>
      </c>
      <c r="B19" s="307" t="s">
        <v>19</v>
      </c>
      <c r="C19" s="640" t="s">
        <v>267</v>
      </c>
      <c r="D19" s="640"/>
      <c r="E19" s="29">
        <v>39.520000000000003</v>
      </c>
      <c r="F19" s="307">
        <v>4730</v>
      </c>
      <c r="G19" s="295">
        <f t="shared" si="15"/>
        <v>186929.6</v>
      </c>
      <c r="H19" s="33" t="s">
        <v>57</v>
      </c>
      <c r="I19" s="305">
        <v>19</v>
      </c>
      <c r="J19" s="31">
        <v>1500</v>
      </c>
      <c r="K19" s="12">
        <f t="shared" si="1"/>
        <v>78.94736842105263</v>
      </c>
      <c r="L19" s="305">
        <v>19</v>
      </c>
      <c r="M19" s="13">
        <f t="shared" si="16"/>
        <v>1433.3333333333337</v>
      </c>
      <c r="N19" s="12">
        <f t="shared" si="3"/>
        <v>75.438596491228097</v>
      </c>
      <c r="O19" s="14">
        <f t="shared" si="4"/>
        <v>0</v>
      </c>
      <c r="P19" s="15">
        <f t="shared" si="5"/>
        <v>-3.5087719298245332</v>
      </c>
      <c r="Q19" s="294">
        <f t="shared" si="6"/>
        <v>0.95555555555555594</v>
      </c>
      <c r="R19" s="615"/>
      <c r="S19" s="34">
        <v>0.35555555555555551</v>
      </c>
      <c r="T19" s="34">
        <v>0.49305555555555547</v>
      </c>
      <c r="U19" s="295">
        <f t="shared" si="18"/>
        <v>4.9999999999999822</v>
      </c>
      <c r="V19" s="306">
        <f t="shared" si="17"/>
        <v>197.99999999999994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-66.666666666666288</v>
      </c>
      <c r="AF19" s="294">
        <f t="shared" si="9"/>
        <v>0.95555555555555582</v>
      </c>
      <c r="AG19" s="615"/>
    </row>
    <row r="20" spans="1:33" ht="16.5" customHeight="1">
      <c r="A20" s="647" t="s">
        <v>1348</v>
      </c>
      <c r="B20" s="307" t="s">
        <v>15</v>
      </c>
      <c r="C20" s="640" t="s">
        <v>25</v>
      </c>
      <c r="D20" s="640"/>
      <c r="E20" s="29">
        <v>53.68</v>
      </c>
      <c r="F20" s="307">
        <v>1224</v>
      </c>
      <c r="G20" s="295">
        <f t="shared" si="15"/>
        <v>65704.319999999992</v>
      </c>
      <c r="H20" s="33" t="s">
        <v>57</v>
      </c>
      <c r="I20" s="305">
        <v>16</v>
      </c>
      <c r="J20" s="31">
        <v>1500</v>
      </c>
      <c r="K20" s="12">
        <f t="shared" si="1"/>
        <v>93.75</v>
      </c>
      <c r="L20" s="305">
        <v>16</v>
      </c>
      <c r="M20" s="13">
        <f t="shared" si="16"/>
        <v>1440.0000000000007</v>
      </c>
      <c r="N20" s="12">
        <f t="shared" si="3"/>
        <v>90.000000000000043</v>
      </c>
      <c r="O20" s="14">
        <f t="shared" si="4"/>
        <v>0</v>
      </c>
      <c r="P20" s="15">
        <f t="shared" si="5"/>
        <v>-3.7499999999999574</v>
      </c>
      <c r="Q20" s="294">
        <f t="shared" si="6"/>
        <v>0.96000000000000041</v>
      </c>
      <c r="R20" s="615"/>
      <c r="S20" s="34">
        <v>0.70833333333333337</v>
      </c>
      <c r="T20" s="34">
        <v>0.74375000000000002</v>
      </c>
      <c r="U20" s="295" t="str">
        <f t="shared" si="18"/>
        <v/>
      </c>
      <c r="V20" s="306">
        <f t="shared" si="17"/>
        <v>50.999999999999979</v>
      </c>
      <c r="W20" s="16"/>
      <c r="X20" s="16"/>
      <c r="Y20" s="16"/>
      <c r="Z20" s="16"/>
      <c r="AA20" s="617"/>
      <c r="AB20" s="617"/>
      <c r="AC20" s="35"/>
      <c r="AD20" s="18"/>
      <c r="AE20" s="14">
        <f t="shared" si="8"/>
        <v>-59.999999999999318</v>
      </c>
      <c r="AF20" s="294">
        <f t="shared" si="9"/>
        <v>0.96000000000000041</v>
      </c>
      <c r="AG20" s="615"/>
    </row>
    <row r="21" spans="1:33" ht="16.5" customHeight="1">
      <c r="A21" s="647" t="s">
        <v>8</v>
      </c>
      <c r="B21" s="307" t="s">
        <v>15</v>
      </c>
      <c r="C21" s="303" t="s">
        <v>18</v>
      </c>
      <c r="D21" s="304"/>
      <c r="E21" s="29">
        <v>52.86</v>
      </c>
      <c r="F21" s="307">
        <v>1572</v>
      </c>
      <c r="G21" s="295">
        <f t="shared" si="15"/>
        <v>83095.92</v>
      </c>
      <c r="H21" s="33" t="s">
        <v>57</v>
      </c>
      <c r="I21" s="305">
        <v>16</v>
      </c>
      <c r="J21" s="31">
        <v>2000</v>
      </c>
      <c r="K21" s="12">
        <f t="shared" si="1"/>
        <v>125</v>
      </c>
      <c r="L21" s="305">
        <v>16</v>
      </c>
      <c r="M21" s="13">
        <f t="shared" si="16"/>
        <v>1924.8979591836742</v>
      </c>
      <c r="N21" s="12">
        <f t="shared" si="3"/>
        <v>120.30612244897964</v>
      </c>
      <c r="O21" s="14">
        <f t="shared" si="4"/>
        <v>0</v>
      </c>
      <c r="P21" s="15">
        <f t="shared" si="5"/>
        <v>-4.6938775510203641</v>
      </c>
      <c r="Q21" s="294">
        <f t="shared" si="6"/>
        <v>0.96244897959183706</v>
      </c>
      <c r="R21" s="615"/>
      <c r="S21" s="34">
        <v>0.74861111111111112</v>
      </c>
      <c r="T21" s="34">
        <v>0.78263888888888888</v>
      </c>
      <c r="U21" s="295">
        <f t="shared" si="18"/>
        <v>6.9999999999999751</v>
      </c>
      <c r="V21" s="306">
        <f t="shared" si="17"/>
        <v>48.999999999999986</v>
      </c>
      <c r="W21" s="16"/>
      <c r="X21" s="16"/>
      <c r="Y21" s="19"/>
      <c r="Z21" s="19"/>
      <c r="AA21" s="301"/>
      <c r="AB21" s="302"/>
      <c r="AC21" s="35"/>
      <c r="AD21" s="18"/>
      <c r="AE21" s="14">
        <f t="shared" si="8"/>
        <v>-75.102040816325825</v>
      </c>
      <c r="AF21" s="294">
        <f t="shared" si="9"/>
        <v>0.96244897959183706</v>
      </c>
      <c r="AG21" s="615"/>
    </row>
    <row r="22" spans="1:33" ht="16.5" customHeight="1">
      <c r="A22" s="647" t="s">
        <v>8</v>
      </c>
      <c r="B22" s="307" t="s">
        <v>15</v>
      </c>
      <c r="C22" s="303" t="s">
        <v>16</v>
      </c>
      <c r="D22" s="304"/>
      <c r="E22" s="29">
        <v>50.67</v>
      </c>
      <c r="F22" s="307">
        <v>1701</v>
      </c>
      <c r="G22" s="295">
        <f t="shared" si="15"/>
        <v>86189.67</v>
      </c>
      <c r="H22" s="33" t="s">
        <v>57</v>
      </c>
      <c r="I22" s="305">
        <v>17</v>
      </c>
      <c r="J22" s="31">
        <v>2000</v>
      </c>
      <c r="K22" s="12">
        <f t="shared" si="1"/>
        <v>117.64705882352941</v>
      </c>
      <c r="L22" s="305">
        <v>17</v>
      </c>
      <c r="M22" s="13">
        <f t="shared" si="16"/>
        <v>1925.6603773584916</v>
      </c>
      <c r="N22" s="12">
        <f t="shared" si="3"/>
        <v>113.27413984461715</v>
      </c>
      <c r="O22" s="14">
        <f t="shared" si="4"/>
        <v>0</v>
      </c>
      <c r="P22" s="15">
        <f t="shared" si="5"/>
        <v>-4.3729189789122529</v>
      </c>
      <c r="Q22" s="294">
        <f t="shared" si="6"/>
        <v>0.96283018867924586</v>
      </c>
      <c r="R22" s="615"/>
      <c r="S22" s="34">
        <v>0.78749999999999998</v>
      </c>
      <c r="T22" s="34">
        <v>0.82430555555555551</v>
      </c>
      <c r="U22" s="295">
        <f t="shared" si="18"/>
        <v>6.9999999999999751</v>
      </c>
      <c r="V22" s="306">
        <f t="shared" si="17"/>
        <v>52.999999999999972</v>
      </c>
      <c r="W22" s="16"/>
      <c r="X22" s="16"/>
      <c r="Y22" s="19"/>
      <c r="Z22" s="19"/>
      <c r="AA22" s="301"/>
      <c r="AB22" s="302"/>
      <c r="AC22" s="35"/>
      <c r="AD22" s="18"/>
      <c r="AE22" s="14">
        <f t="shared" si="8"/>
        <v>-74.339622641508413</v>
      </c>
      <c r="AF22" s="294">
        <f t="shared" si="9"/>
        <v>0.96283018867924575</v>
      </c>
      <c r="AG22" s="615"/>
    </row>
    <row r="23" spans="1:33" ht="16.5" customHeight="1">
      <c r="A23" s="647" t="s">
        <v>1348</v>
      </c>
      <c r="B23" s="29" t="s">
        <v>6</v>
      </c>
      <c r="C23" s="618"/>
      <c r="D23" s="618"/>
      <c r="E23" s="297"/>
      <c r="F23" s="30"/>
      <c r="G23" s="12"/>
      <c r="H23" s="307"/>
      <c r="I23" s="23">
        <v>18.714285714285715</v>
      </c>
      <c r="J23" s="31">
        <v>1642.8571428571429</v>
      </c>
      <c r="K23" s="12">
        <f t="shared" si="1"/>
        <v>87.786259541984734</v>
      </c>
      <c r="L23" s="23">
        <v>18.714285714285715</v>
      </c>
      <c r="M23" s="13">
        <f>AVERAGE(M16:M22)</f>
        <v>1575.6202707330638</v>
      </c>
      <c r="N23" s="12">
        <f t="shared" si="3"/>
        <v>84.193449581156074</v>
      </c>
      <c r="O23" s="14">
        <f t="shared" si="4"/>
        <v>0</v>
      </c>
      <c r="P23" s="15">
        <f t="shared" si="5"/>
        <v>-3.5928099608286601</v>
      </c>
      <c r="Q23" s="294">
        <f t="shared" si="6"/>
        <v>0.95907320827229958</v>
      </c>
      <c r="R23" s="615"/>
      <c r="S23" s="34"/>
      <c r="T23" s="34"/>
      <c r="U23" s="295"/>
      <c r="V23" s="306"/>
      <c r="W23" s="12"/>
      <c r="X23" s="12"/>
      <c r="Y23" s="24">
        <f>SUM(Y16:Y22)</f>
        <v>0</v>
      </c>
      <c r="Z23" s="24">
        <f>SUM(Z16:Z22)</f>
        <v>0</v>
      </c>
      <c r="AA23" s="614"/>
      <c r="AB23" s="614"/>
      <c r="AC23" s="24">
        <v>7</v>
      </c>
      <c r="AD23" s="24">
        <f>SUM(AD16:AD22)</f>
        <v>0</v>
      </c>
      <c r="AE23" s="14">
        <f t="shared" si="8"/>
        <v>-67.236872124079127</v>
      </c>
      <c r="AF23" s="294">
        <f t="shared" si="9"/>
        <v>0.95907320827229969</v>
      </c>
      <c r="AG23" s="615"/>
    </row>
    <row r="24" spans="1:33" ht="15.75" customHeight="1">
      <c r="A24" s="642" t="s">
        <v>1349</v>
      </c>
      <c r="B24" s="29" t="s">
        <v>15</v>
      </c>
      <c r="C24" s="640" t="s">
        <v>24</v>
      </c>
      <c r="D24" s="640"/>
      <c r="E24" s="29">
        <v>54.09</v>
      </c>
      <c r="F24" s="307">
        <v>1664</v>
      </c>
      <c r="G24" s="295">
        <f t="shared" ref="G24:G29" si="19">E24*F24</f>
        <v>90005.760000000009</v>
      </c>
      <c r="H24" s="33" t="s">
        <v>57</v>
      </c>
      <c r="I24" s="305">
        <v>17</v>
      </c>
      <c r="J24" s="31">
        <v>1500</v>
      </c>
      <c r="K24" s="12">
        <f t="shared" si="1"/>
        <v>88.235294117647058</v>
      </c>
      <c r="L24" s="305">
        <v>17</v>
      </c>
      <c r="M24" s="13">
        <f t="shared" ref="M24:M29" si="20">F24/V24*60</f>
        <v>1446.9565217391314</v>
      </c>
      <c r="N24" s="12">
        <f t="shared" si="3"/>
        <v>85.115089514066554</v>
      </c>
      <c r="O24" s="14">
        <f t="shared" si="4"/>
        <v>0</v>
      </c>
      <c r="P24" s="15">
        <f t="shared" si="5"/>
        <v>-3.120204603580504</v>
      </c>
      <c r="Q24" s="294">
        <f t="shared" si="6"/>
        <v>0.96463768115942095</v>
      </c>
      <c r="R24" s="615">
        <f>Q30</f>
        <v>0.95632477057366183</v>
      </c>
      <c r="S24" s="34">
        <v>0.20833333333333334</v>
      </c>
      <c r="T24" s="34">
        <v>0.25624999999999998</v>
      </c>
      <c r="U24" s="295"/>
      <c r="V24" s="306">
        <f t="shared" ref="V24:V29" si="21">(T24-S24)*24*60</f>
        <v>68.999999999999957</v>
      </c>
      <c r="W24" s="21"/>
      <c r="X24" s="21"/>
      <c r="Y24" s="21"/>
      <c r="Z24" s="21"/>
      <c r="AA24" s="617"/>
      <c r="AB24" s="617"/>
      <c r="AC24" s="35">
        <v>6</v>
      </c>
      <c r="AD24" s="18"/>
      <c r="AE24" s="14">
        <f t="shared" si="8"/>
        <v>-53.043478260868596</v>
      </c>
      <c r="AF24" s="294">
        <f t="shared" si="9"/>
        <v>0.96463768115942095</v>
      </c>
      <c r="AG24" s="615">
        <f>AF30</f>
        <v>0.95632477057366183</v>
      </c>
    </row>
    <row r="25" spans="1:33" ht="15.75" customHeight="1">
      <c r="A25" s="643" t="s">
        <v>9</v>
      </c>
      <c r="B25" s="29" t="s">
        <v>15</v>
      </c>
      <c r="C25" s="640" t="s">
        <v>28</v>
      </c>
      <c r="D25" s="640"/>
      <c r="E25" s="29">
        <v>50.67</v>
      </c>
      <c r="F25" s="307">
        <v>2832</v>
      </c>
      <c r="G25" s="295">
        <f t="shared" si="19"/>
        <v>143497.44</v>
      </c>
      <c r="H25" s="33" t="s">
        <v>57</v>
      </c>
      <c r="I25" s="305">
        <v>17</v>
      </c>
      <c r="J25" s="31">
        <v>2000</v>
      </c>
      <c r="K25" s="12">
        <f t="shared" si="1"/>
        <v>117.64705882352941</v>
      </c>
      <c r="L25" s="305">
        <v>17</v>
      </c>
      <c r="M25" s="13">
        <f t="shared" si="20"/>
        <v>1909.2134831460673</v>
      </c>
      <c r="N25" s="12">
        <f t="shared" si="3"/>
        <v>112.30667547918043</v>
      </c>
      <c r="O25" s="14">
        <f t="shared" si="4"/>
        <v>0</v>
      </c>
      <c r="P25" s="15">
        <f t="shared" si="5"/>
        <v>-5.3403833443489788</v>
      </c>
      <c r="Q25" s="294">
        <f t="shared" si="6"/>
        <v>0.95460674157303371</v>
      </c>
      <c r="R25" s="615"/>
      <c r="S25" s="34">
        <v>0.25972222222222219</v>
      </c>
      <c r="T25" s="34">
        <v>0.32152777777777775</v>
      </c>
      <c r="U25" s="295">
        <f t="shared" ref="U25:U29" si="22">IF(S25=TIME(17,0,0),"",(S25-T24)*24*60)</f>
        <v>4.9999999999999822</v>
      </c>
      <c r="V25" s="306">
        <f t="shared" si="21"/>
        <v>89</v>
      </c>
      <c r="W25" s="16"/>
      <c r="X25" s="295"/>
      <c r="Y25" s="295"/>
      <c r="Z25" s="295"/>
      <c r="AA25" s="617"/>
      <c r="AB25" s="617"/>
      <c r="AC25" s="35"/>
      <c r="AD25" s="18"/>
      <c r="AE25" s="14">
        <f t="shared" si="8"/>
        <v>-90.786516853932653</v>
      </c>
      <c r="AF25" s="294">
        <f t="shared" si="9"/>
        <v>0.95460674157303371</v>
      </c>
      <c r="AG25" s="615"/>
    </row>
    <row r="26" spans="1:33" ht="15.75" customHeight="1">
      <c r="A26" s="643" t="s">
        <v>9</v>
      </c>
      <c r="B26" s="29" t="s">
        <v>15</v>
      </c>
      <c r="C26" s="640" t="s">
        <v>29</v>
      </c>
      <c r="D26" s="640"/>
      <c r="E26" s="29">
        <v>57.73</v>
      </c>
      <c r="F26" s="307">
        <v>3239</v>
      </c>
      <c r="G26" s="295">
        <f t="shared" si="19"/>
        <v>186987.47</v>
      </c>
      <c r="H26" s="33" t="s">
        <v>57</v>
      </c>
      <c r="I26" s="305">
        <v>14</v>
      </c>
      <c r="J26" s="31">
        <v>2000</v>
      </c>
      <c r="K26" s="12">
        <f t="shared" si="1"/>
        <v>142.85714285714286</v>
      </c>
      <c r="L26" s="305">
        <v>14</v>
      </c>
      <c r="M26" s="13">
        <f t="shared" si="20"/>
        <v>1905.2941176470597</v>
      </c>
      <c r="N26" s="12">
        <f t="shared" si="3"/>
        <v>136.09243697478999</v>
      </c>
      <c r="O26" s="14">
        <f t="shared" si="4"/>
        <v>0</v>
      </c>
      <c r="P26" s="15">
        <f t="shared" si="5"/>
        <v>-6.764705882352871</v>
      </c>
      <c r="Q26" s="294">
        <f t="shared" si="6"/>
        <v>0.95264705882352996</v>
      </c>
      <c r="R26" s="615"/>
      <c r="S26" s="34">
        <v>0.3256944444444444</v>
      </c>
      <c r="T26" s="34">
        <v>0.3965277777777777</v>
      </c>
      <c r="U26" s="295">
        <f t="shared" si="22"/>
        <v>5.9999999999999787</v>
      </c>
      <c r="V26" s="306">
        <f t="shared" si="21"/>
        <v>101.99999999999996</v>
      </c>
      <c r="W26" s="16"/>
      <c r="X26" s="295"/>
      <c r="Y26" s="295"/>
      <c r="Z26" s="295"/>
      <c r="AA26" s="617"/>
      <c r="AB26" s="617"/>
      <c r="AC26" s="35"/>
      <c r="AD26" s="18"/>
      <c r="AE26" s="14">
        <f t="shared" si="8"/>
        <v>-94.705882352940307</v>
      </c>
      <c r="AF26" s="294">
        <f t="shared" si="9"/>
        <v>0.95264705882352985</v>
      </c>
      <c r="AG26" s="615"/>
    </row>
    <row r="27" spans="1:33" ht="15.75" customHeight="1">
      <c r="A27" s="643" t="s">
        <v>9</v>
      </c>
      <c r="B27" s="29" t="s">
        <v>15</v>
      </c>
      <c r="C27" s="640" t="s">
        <v>80</v>
      </c>
      <c r="D27" s="640"/>
      <c r="E27" s="29">
        <v>53.27</v>
      </c>
      <c r="F27" s="307">
        <v>2164</v>
      </c>
      <c r="G27" s="295">
        <f t="shared" si="19"/>
        <v>115276.28000000001</v>
      </c>
      <c r="H27" s="33" t="s">
        <v>57</v>
      </c>
      <c r="I27" s="305">
        <v>16</v>
      </c>
      <c r="J27" s="31">
        <v>2000</v>
      </c>
      <c r="K27" s="12">
        <f t="shared" si="1"/>
        <v>125</v>
      </c>
      <c r="L27" s="305">
        <v>16</v>
      </c>
      <c r="M27" s="13">
        <f t="shared" si="20"/>
        <v>1909.4117647058824</v>
      </c>
      <c r="N27" s="12">
        <f t="shared" si="3"/>
        <v>119.33823529411765</v>
      </c>
      <c r="O27" s="14">
        <f t="shared" si="4"/>
        <v>0</v>
      </c>
      <c r="P27" s="15">
        <f t="shared" si="5"/>
        <v>-5.6617647058823479</v>
      </c>
      <c r="Q27" s="294">
        <f t="shared" si="6"/>
        <v>0.95470588235294118</v>
      </c>
      <c r="R27" s="615"/>
      <c r="S27" s="34">
        <v>0.40208333333333324</v>
      </c>
      <c r="T27" s="34">
        <v>0.44930555555555546</v>
      </c>
      <c r="U27" s="295">
        <f t="shared" si="22"/>
        <v>7.9999999999999716</v>
      </c>
      <c r="V27" s="306">
        <f t="shared" si="21"/>
        <v>68</v>
      </c>
      <c r="W27" s="16"/>
      <c r="X27" s="295"/>
      <c r="Y27" s="295"/>
      <c r="Z27" s="295"/>
      <c r="AA27" s="617"/>
      <c r="AB27" s="617"/>
      <c r="AC27" s="35"/>
      <c r="AD27" s="18"/>
      <c r="AE27" s="14">
        <f t="shared" si="8"/>
        <v>-90.588235294117567</v>
      </c>
      <c r="AF27" s="294">
        <f t="shared" si="9"/>
        <v>0.95470588235294118</v>
      </c>
      <c r="AG27" s="615"/>
    </row>
    <row r="28" spans="1:33" ht="15.75" customHeight="1">
      <c r="A28" s="643" t="s">
        <v>1349</v>
      </c>
      <c r="B28" s="29" t="s">
        <v>15</v>
      </c>
      <c r="C28" s="640" t="s">
        <v>30</v>
      </c>
      <c r="D28" s="640"/>
      <c r="E28" s="29">
        <v>50.49</v>
      </c>
      <c r="F28" s="307">
        <v>2303</v>
      </c>
      <c r="G28" s="295">
        <f t="shared" si="19"/>
        <v>116278.47</v>
      </c>
      <c r="H28" s="33" t="s">
        <v>57</v>
      </c>
      <c r="I28" s="305">
        <v>15</v>
      </c>
      <c r="J28" s="31">
        <v>2000</v>
      </c>
      <c r="K28" s="12">
        <f t="shared" si="1"/>
        <v>133.33333333333334</v>
      </c>
      <c r="L28" s="305">
        <v>15</v>
      </c>
      <c r="M28" s="13">
        <f t="shared" si="20"/>
        <v>1919.1666666666652</v>
      </c>
      <c r="N28" s="12">
        <f t="shared" si="3"/>
        <v>127.94444444444434</v>
      </c>
      <c r="O28" s="14">
        <f t="shared" si="4"/>
        <v>0</v>
      </c>
      <c r="P28" s="15">
        <f t="shared" si="5"/>
        <v>-5.3888888888889994</v>
      </c>
      <c r="Q28" s="294">
        <f t="shared" si="6"/>
        <v>0.95958333333333246</v>
      </c>
      <c r="R28" s="615"/>
      <c r="S28" s="34">
        <v>0.70833333333333337</v>
      </c>
      <c r="T28" s="34">
        <v>0.75833333333333341</v>
      </c>
      <c r="U28" s="295" t="str">
        <f t="shared" si="22"/>
        <v/>
      </c>
      <c r="V28" s="306">
        <f t="shared" si="21"/>
        <v>72.000000000000057</v>
      </c>
      <c r="W28" s="16"/>
      <c r="X28" s="16"/>
      <c r="Y28" s="295"/>
      <c r="Z28" s="295"/>
      <c r="AA28" s="617"/>
      <c r="AB28" s="617"/>
      <c r="AC28" s="35"/>
      <c r="AD28" s="18"/>
      <c r="AE28" s="14">
        <f t="shared" si="8"/>
        <v>-80.833333333334849</v>
      </c>
      <c r="AF28" s="294">
        <f t="shared" si="9"/>
        <v>0.95958333333333257</v>
      </c>
      <c r="AG28" s="615"/>
    </row>
    <row r="29" spans="1:33" ht="15.75" customHeight="1">
      <c r="A29" s="643" t="s">
        <v>1349</v>
      </c>
      <c r="B29" s="29" t="s">
        <v>15</v>
      </c>
      <c r="C29" s="640" t="s">
        <v>82</v>
      </c>
      <c r="D29" s="640"/>
      <c r="E29" s="29">
        <v>51.06</v>
      </c>
      <c r="F29" s="307">
        <v>3720</v>
      </c>
      <c r="G29" s="295">
        <f t="shared" si="19"/>
        <v>189943.2</v>
      </c>
      <c r="H29" s="33" t="s">
        <v>57</v>
      </c>
      <c r="I29" s="305">
        <v>13</v>
      </c>
      <c r="J29" s="31">
        <v>2000</v>
      </c>
      <c r="K29" s="12">
        <f t="shared" si="1"/>
        <v>153.84615384615384</v>
      </c>
      <c r="L29" s="305">
        <v>13</v>
      </c>
      <c r="M29" s="13">
        <f t="shared" si="20"/>
        <v>1907.6923076923067</v>
      </c>
      <c r="N29" s="12">
        <f t="shared" si="3"/>
        <v>146.74556213017743</v>
      </c>
      <c r="O29" s="14">
        <f t="shared" si="4"/>
        <v>0</v>
      </c>
      <c r="P29" s="15">
        <f t="shared" si="5"/>
        <v>-7.1005917159764067</v>
      </c>
      <c r="Q29" s="294">
        <f t="shared" si="6"/>
        <v>0.95384615384615334</v>
      </c>
      <c r="R29" s="615"/>
      <c r="S29" s="34">
        <v>0.76250000000000007</v>
      </c>
      <c r="T29" s="34">
        <v>0.84375000000000011</v>
      </c>
      <c r="U29" s="295">
        <f t="shared" si="22"/>
        <v>5.9999999999999787</v>
      </c>
      <c r="V29" s="306">
        <f t="shared" si="21"/>
        <v>117.00000000000006</v>
      </c>
      <c r="W29" s="16"/>
      <c r="X29" s="21"/>
      <c r="Y29" s="21"/>
      <c r="Z29" s="21"/>
      <c r="AA29" s="617"/>
      <c r="AB29" s="617"/>
      <c r="AC29" s="35"/>
      <c r="AD29" s="18"/>
      <c r="AE29" s="14">
        <f t="shared" si="8"/>
        <v>-92.307692307693287</v>
      </c>
      <c r="AF29" s="294">
        <f t="shared" si="9"/>
        <v>0.95384615384615334</v>
      </c>
      <c r="AG29" s="615"/>
    </row>
    <row r="30" spans="1:33" ht="15.75" customHeight="1">
      <c r="A30" s="643" t="s">
        <v>9</v>
      </c>
      <c r="B30" s="29" t="s">
        <v>6</v>
      </c>
      <c r="C30" s="618"/>
      <c r="D30" s="618"/>
      <c r="E30" s="297"/>
      <c r="F30" s="307"/>
      <c r="G30" s="295"/>
      <c r="H30" s="307"/>
      <c r="I30" s="23">
        <v>15.333333333333334</v>
      </c>
      <c r="J30" s="31">
        <v>1916.6666666666667</v>
      </c>
      <c r="K30" s="12">
        <f t="shared" si="1"/>
        <v>125</v>
      </c>
      <c r="L30" s="23">
        <v>15.333333333333334</v>
      </c>
      <c r="M30" s="13">
        <f>AVERAGE(M24:M29)</f>
        <v>1832.9558102661852</v>
      </c>
      <c r="N30" s="12">
        <f t="shared" si="3"/>
        <v>119.54059632170772</v>
      </c>
      <c r="O30" s="14">
        <f t="shared" si="4"/>
        <v>0</v>
      </c>
      <c r="P30" s="15">
        <f t="shared" si="5"/>
        <v>-5.4594036782922757</v>
      </c>
      <c r="Q30" s="294">
        <f t="shared" si="6"/>
        <v>0.95632477057366183</v>
      </c>
      <c r="R30" s="615"/>
      <c r="S30" s="34"/>
      <c r="T30" s="34"/>
      <c r="U30" s="12"/>
      <c r="V30" s="306"/>
      <c r="W30" s="12"/>
      <c r="X30" s="12"/>
      <c r="Y30" s="24">
        <f>SUM(Y24:Y29)</f>
        <v>0</v>
      </c>
      <c r="Z30" s="24">
        <f>SUM(Z24:Z29)</f>
        <v>0</v>
      </c>
      <c r="AA30" s="614"/>
      <c r="AB30" s="614"/>
      <c r="AC30" s="24">
        <v>6</v>
      </c>
      <c r="AD30" s="24">
        <f>SUM(AD24:AD29)</f>
        <v>0</v>
      </c>
      <c r="AE30" s="14">
        <f t="shared" si="8"/>
        <v>-83.710856400481589</v>
      </c>
      <c r="AF30" s="294">
        <f t="shared" si="9"/>
        <v>0.95632477057366183</v>
      </c>
      <c r="AG30" s="615"/>
    </row>
    <row r="31" spans="1:33" ht="15.75" customHeight="1">
      <c r="A31" s="641" t="s">
        <v>1350</v>
      </c>
      <c r="B31" s="29" t="s">
        <v>32</v>
      </c>
      <c r="C31" s="640" t="s">
        <v>33</v>
      </c>
      <c r="D31" s="640"/>
      <c r="E31" s="29">
        <v>31.29</v>
      </c>
      <c r="F31" s="307">
        <v>6300</v>
      </c>
      <c r="G31" s="295">
        <f t="shared" ref="G31:G38" si="23">E31*F31</f>
        <v>197127</v>
      </c>
      <c r="H31" s="33">
        <v>2</v>
      </c>
      <c r="I31" s="305">
        <v>18</v>
      </c>
      <c r="J31" s="31">
        <v>2400</v>
      </c>
      <c r="K31" s="12">
        <f t="shared" si="1"/>
        <v>133.33333333333334</v>
      </c>
      <c r="L31" s="305">
        <v>18</v>
      </c>
      <c r="M31" s="13">
        <f t="shared" ref="M31:M38" si="24">F31/V31*60</f>
        <v>2290.909090909091</v>
      </c>
      <c r="N31" s="12">
        <f t="shared" si="3"/>
        <v>127.27272727272728</v>
      </c>
      <c r="O31" s="14">
        <f t="shared" si="4"/>
        <v>0</v>
      </c>
      <c r="P31" s="15">
        <f t="shared" si="5"/>
        <v>-6.0606060606060623</v>
      </c>
      <c r="Q31" s="294">
        <f t="shared" si="6"/>
        <v>0.95454545454545459</v>
      </c>
      <c r="R31" s="615">
        <f>Q39</f>
        <v>0.95476208843153043</v>
      </c>
      <c r="S31" s="34">
        <v>8.3333333333333329E-2</v>
      </c>
      <c r="T31" s="34">
        <v>0.19791666666666666</v>
      </c>
      <c r="U31" s="295"/>
      <c r="V31" s="306">
        <f t="shared" ref="V31:V38" si="25">(T31-S31)*24*60</f>
        <v>165</v>
      </c>
      <c r="W31" s="16">
        <f>T31</f>
        <v>0.19791666666666666</v>
      </c>
      <c r="X31" s="16">
        <f>S32</f>
        <v>0.21875</v>
      </c>
      <c r="Y31" s="16"/>
      <c r="Z31" s="16"/>
      <c r="AA31" s="617"/>
      <c r="AB31" s="617"/>
      <c r="AC31" s="35">
        <v>8</v>
      </c>
      <c r="AD31" s="18"/>
      <c r="AE31" s="14">
        <f t="shared" si="8"/>
        <v>-109.09090909090901</v>
      </c>
      <c r="AF31" s="294">
        <f t="shared" si="9"/>
        <v>0.95454545454545459</v>
      </c>
      <c r="AG31" s="615">
        <f>AF39</f>
        <v>0.95476208843153032</v>
      </c>
    </row>
    <row r="32" spans="1:33" ht="15.75" customHeight="1">
      <c r="A32" s="641" t="s">
        <v>10</v>
      </c>
      <c r="B32" s="29" t="s">
        <v>32</v>
      </c>
      <c r="C32" s="640" t="s">
        <v>34</v>
      </c>
      <c r="D32" s="640"/>
      <c r="E32" s="29">
        <v>26.37</v>
      </c>
      <c r="F32" s="307">
        <v>4300</v>
      </c>
      <c r="G32" s="295">
        <f t="shared" si="23"/>
        <v>113391</v>
      </c>
      <c r="H32" s="33">
        <v>2</v>
      </c>
      <c r="I32" s="305">
        <v>18</v>
      </c>
      <c r="J32" s="31">
        <v>2400</v>
      </c>
      <c r="K32" s="12">
        <f t="shared" si="1"/>
        <v>133.33333333333334</v>
      </c>
      <c r="L32" s="305">
        <v>18</v>
      </c>
      <c r="M32" s="13">
        <f t="shared" si="24"/>
        <v>2283.1858407079644</v>
      </c>
      <c r="N32" s="12">
        <f t="shared" si="3"/>
        <v>126.84365781710913</v>
      </c>
      <c r="O32" s="14">
        <f t="shared" si="4"/>
        <v>0</v>
      </c>
      <c r="P32" s="15">
        <f t="shared" si="5"/>
        <v>-6.4896755162242101</v>
      </c>
      <c r="Q32" s="294">
        <f t="shared" si="6"/>
        <v>0.9513274336283184</v>
      </c>
      <c r="R32" s="615"/>
      <c r="S32" s="34">
        <v>0.21875</v>
      </c>
      <c r="T32" s="34">
        <v>0.29722222222222222</v>
      </c>
      <c r="U32" s="295">
        <f t="shared" ref="U32:U38" si="26">(S32-T31)*24*60</f>
        <v>30.000000000000014</v>
      </c>
      <c r="V32" s="306">
        <f t="shared" si="25"/>
        <v>113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-116.81415929203558</v>
      </c>
      <c r="AF32" s="294">
        <f t="shared" si="9"/>
        <v>0.95132743362831851</v>
      </c>
      <c r="AG32" s="615"/>
    </row>
    <row r="33" spans="1:33" ht="15.75" customHeight="1">
      <c r="A33" s="641" t="s">
        <v>10</v>
      </c>
      <c r="B33" s="29" t="s">
        <v>32</v>
      </c>
      <c r="C33" s="640" t="s">
        <v>76</v>
      </c>
      <c r="D33" s="640"/>
      <c r="E33" s="29">
        <v>26.18</v>
      </c>
      <c r="F33" s="307">
        <v>5000</v>
      </c>
      <c r="G33" s="295">
        <f t="shared" si="23"/>
        <v>130900</v>
      </c>
      <c r="H33" s="33">
        <v>2</v>
      </c>
      <c r="I33" s="305">
        <v>18</v>
      </c>
      <c r="J33" s="31">
        <v>2400</v>
      </c>
      <c r="K33" s="12">
        <f t="shared" si="1"/>
        <v>133.33333333333334</v>
      </c>
      <c r="L33" s="305">
        <v>18</v>
      </c>
      <c r="M33" s="13">
        <f t="shared" si="24"/>
        <v>2290.0763358778627</v>
      </c>
      <c r="N33" s="12">
        <f t="shared" si="3"/>
        <v>127.2264631043257</v>
      </c>
      <c r="O33" s="14">
        <f t="shared" si="4"/>
        <v>0</v>
      </c>
      <c r="P33" s="15">
        <f t="shared" si="5"/>
        <v>-6.1068702290076402</v>
      </c>
      <c r="Q33" s="294">
        <f t="shared" si="6"/>
        <v>0.95419847328244267</v>
      </c>
      <c r="R33" s="615"/>
      <c r="S33" s="34">
        <v>0.30277777777777776</v>
      </c>
      <c r="T33" s="34">
        <v>0.39374999999999999</v>
      </c>
      <c r="U33" s="295">
        <f t="shared" si="26"/>
        <v>7.9999999999999716</v>
      </c>
      <c r="V33" s="306">
        <f t="shared" si="25"/>
        <v>131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-109.92366412213732</v>
      </c>
      <c r="AF33" s="294">
        <f t="shared" si="9"/>
        <v>0.95419847328244278</v>
      </c>
      <c r="AG33" s="615"/>
    </row>
    <row r="34" spans="1:33" ht="15.75" customHeight="1">
      <c r="A34" s="641" t="s">
        <v>1350</v>
      </c>
      <c r="B34" s="29" t="s">
        <v>32</v>
      </c>
      <c r="C34" s="640" t="s">
        <v>79</v>
      </c>
      <c r="D34" s="640"/>
      <c r="E34" s="29">
        <v>25.99</v>
      </c>
      <c r="F34" s="307">
        <v>1800</v>
      </c>
      <c r="G34" s="295">
        <f t="shared" si="23"/>
        <v>46782</v>
      </c>
      <c r="H34" s="33">
        <v>2</v>
      </c>
      <c r="I34" s="305">
        <v>18</v>
      </c>
      <c r="J34" s="31">
        <v>2400</v>
      </c>
      <c r="K34" s="12">
        <f t="shared" si="1"/>
        <v>133.33333333333334</v>
      </c>
      <c r="L34" s="305">
        <v>18</v>
      </c>
      <c r="M34" s="13">
        <f t="shared" si="24"/>
        <v>2297.872340425532</v>
      </c>
      <c r="N34" s="12">
        <f t="shared" si="3"/>
        <v>127.65957446808511</v>
      </c>
      <c r="O34" s="14">
        <f t="shared" si="4"/>
        <v>0</v>
      </c>
      <c r="P34" s="15">
        <f t="shared" si="5"/>
        <v>-5.6737588652482316</v>
      </c>
      <c r="Q34" s="294">
        <f t="shared" si="6"/>
        <v>0.95744680851063824</v>
      </c>
      <c r="R34" s="615"/>
      <c r="S34" s="34">
        <v>0.39791666666666664</v>
      </c>
      <c r="T34" s="34">
        <v>0.43055555555555552</v>
      </c>
      <c r="U34" s="295">
        <f t="shared" si="26"/>
        <v>5.9999999999999787</v>
      </c>
      <c r="V34" s="306">
        <f t="shared" si="25"/>
        <v>46.999999999999993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-102.127659574468</v>
      </c>
      <c r="AF34" s="294">
        <f t="shared" si="9"/>
        <v>0.95744680851063835</v>
      </c>
      <c r="AG34" s="615"/>
    </row>
    <row r="35" spans="1:33" ht="15.75" customHeight="1">
      <c r="A35" s="641" t="s">
        <v>10</v>
      </c>
      <c r="B35" s="29" t="s">
        <v>32</v>
      </c>
      <c r="C35" s="640" t="s">
        <v>35</v>
      </c>
      <c r="D35" s="640"/>
      <c r="E35" s="29">
        <v>25.99</v>
      </c>
      <c r="F35" s="307">
        <v>4716</v>
      </c>
      <c r="G35" s="295">
        <f t="shared" si="23"/>
        <v>122568.84</v>
      </c>
      <c r="H35" s="33" t="s">
        <v>57</v>
      </c>
      <c r="I35" s="305">
        <v>14</v>
      </c>
      <c r="J35" s="31">
        <v>2400</v>
      </c>
      <c r="K35" s="12">
        <f t="shared" si="1"/>
        <v>171.42857142857142</v>
      </c>
      <c r="L35" s="305">
        <v>14</v>
      </c>
      <c r="M35" s="13">
        <f t="shared" si="24"/>
        <v>2300.4878048780497</v>
      </c>
      <c r="N35" s="12">
        <f t="shared" si="3"/>
        <v>164.32055749128926</v>
      </c>
      <c r="O35" s="14">
        <f t="shared" si="4"/>
        <v>0</v>
      </c>
      <c r="P35" s="15">
        <f t="shared" si="5"/>
        <v>-7.108013937282152</v>
      </c>
      <c r="Q35" s="294">
        <f t="shared" si="6"/>
        <v>0.95853658536585407</v>
      </c>
      <c r="R35" s="615"/>
      <c r="S35" s="34">
        <v>0.43472222222222218</v>
      </c>
      <c r="T35" s="34">
        <v>0.52013888888888882</v>
      </c>
      <c r="U35" s="295">
        <f t="shared" si="26"/>
        <v>5.9999999999999787</v>
      </c>
      <c r="V35" s="306">
        <f t="shared" si="25"/>
        <v>122.99999999999996</v>
      </c>
      <c r="W35" s="16">
        <f>T35</f>
        <v>0.52013888888888882</v>
      </c>
      <c r="X35" s="16">
        <f>S36</f>
        <v>0.56041666666666656</v>
      </c>
      <c r="Y35" s="16"/>
      <c r="Z35" s="16"/>
      <c r="AA35" s="617"/>
      <c r="AB35" s="617"/>
      <c r="AC35" s="35"/>
      <c r="AD35" s="18"/>
      <c r="AE35" s="14">
        <f t="shared" si="8"/>
        <v>-99.512195121950299</v>
      </c>
      <c r="AF35" s="294">
        <f t="shared" si="9"/>
        <v>0.95853658536585407</v>
      </c>
      <c r="AG35" s="615"/>
    </row>
    <row r="36" spans="1:33" ht="15.75" customHeight="1">
      <c r="A36" s="641" t="s">
        <v>10</v>
      </c>
      <c r="B36" s="29" t="s">
        <v>32</v>
      </c>
      <c r="C36" s="640" t="s">
        <v>33</v>
      </c>
      <c r="D36" s="640"/>
      <c r="E36" s="29">
        <v>31.29</v>
      </c>
      <c r="F36" s="307">
        <v>4724</v>
      </c>
      <c r="G36" s="295">
        <f t="shared" si="23"/>
        <v>147813.96</v>
      </c>
      <c r="H36" s="33" t="s">
        <v>57</v>
      </c>
      <c r="I36" s="305">
        <v>18</v>
      </c>
      <c r="J36" s="31">
        <v>2400</v>
      </c>
      <c r="K36" s="12">
        <f t="shared" si="1"/>
        <v>133.33333333333334</v>
      </c>
      <c r="L36" s="305">
        <v>18</v>
      </c>
      <c r="M36" s="13">
        <f t="shared" si="24"/>
        <v>2285.8064516129025</v>
      </c>
      <c r="N36" s="12">
        <f t="shared" si="3"/>
        <v>126.98924731182791</v>
      </c>
      <c r="O36" s="14">
        <f t="shared" si="4"/>
        <v>0</v>
      </c>
      <c r="P36" s="15">
        <f t="shared" si="5"/>
        <v>-6.3440860215054329</v>
      </c>
      <c r="Q36" s="294">
        <f t="shared" si="6"/>
        <v>0.95241935483870921</v>
      </c>
      <c r="R36" s="615"/>
      <c r="S36" s="34">
        <v>0.56041666666666656</v>
      </c>
      <c r="T36" s="34">
        <v>0.6465277777777777</v>
      </c>
      <c r="U36" s="295">
        <f t="shared" si="26"/>
        <v>57.999999999999957</v>
      </c>
      <c r="V36" s="306">
        <f t="shared" si="25"/>
        <v>124.00000000000004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-114.19354838709751</v>
      </c>
      <c r="AF36" s="294">
        <f t="shared" si="9"/>
        <v>0.95241935483870932</v>
      </c>
      <c r="AG36" s="615"/>
    </row>
    <row r="37" spans="1:33" ht="15.75" customHeight="1">
      <c r="A37" s="641" t="s">
        <v>10</v>
      </c>
      <c r="B37" s="29" t="s">
        <v>32</v>
      </c>
      <c r="C37" s="640" t="s">
        <v>34</v>
      </c>
      <c r="D37" s="640"/>
      <c r="E37" s="29">
        <v>26.37</v>
      </c>
      <c r="F37" s="307">
        <v>3009</v>
      </c>
      <c r="G37" s="295">
        <f t="shared" si="23"/>
        <v>79347.33</v>
      </c>
      <c r="H37" s="33" t="s">
        <v>57</v>
      </c>
      <c r="I37" s="305">
        <v>18</v>
      </c>
      <c r="J37" s="31">
        <v>2400</v>
      </c>
      <c r="K37" s="12">
        <f t="shared" si="1"/>
        <v>133.33333333333334</v>
      </c>
      <c r="L37" s="305">
        <v>18</v>
      </c>
      <c r="M37" s="13">
        <f t="shared" si="24"/>
        <v>2285.3164556962015</v>
      </c>
      <c r="N37" s="12">
        <f t="shared" si="3"/>
        <v>126.96202531645564</v>
      </c>
      <c r="O37" s="14">
        <f t="shared" si="4"/>
        <v>0</v>
      </c>
      <c r="P37" s="15">
        <f t="shared" si="5"/>
        <v>-6.3713080168777054</v>
      </c>
      <c r="Q37" s="294">
        <f t="shared" si="6"/>
        <v>0.95221518987341724</v>
      </c>
      <c r="R37" s="615"/>
      <c r="S37" s="34">
        <v>0.64999999999999991</v>
      </c>
      <c r="T37" s="34">
        <v>0.70486111111111105</v>
      </c>
      <c r="U37" s="295">
        <f t="shared" si="26"/>
        <v>4.9999999999999822</v>
      </c>
      <c r="V37" s="306">
        <f t="shared" si="25"/>
        <v>79.000000000000043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-114.6835443037985</v>
      </c>
      <c r="AF37" s="294">
        <f t="shared" si="9"/>
        <v>0.95221518987341724</v>
      </c>
      <c r="AG37" s="615"/>
    </row>
    <row r="38" spans="1:33" ht="15.75" customHeight="1">
      <c r="A38" s="641" t="s">
        <v>10</v>
      </c>
      <c r="B38" s="29" t="s">
        <v>32</v>
      </c>
      <c r="C38" s="303" t="s">
        <v>76</v>
      </c>
      <c r="D38" s="304"/>
      <c r="E38" s="29">
        <v>26.18</v>
      </c>
      <c r="F38" s="307">
        <v>4136</v>
      </c>
      <c r="G38" s="295">
        <f t="shared" si="23"/>
        <v>108280.48</v>
      </c>
      <c r="H38" s="33" t="s">
        <v>57</v>
      </c>
      <c r="I38" s="305">
        <v>18</v>
      </c>
      <c r="J38" s="31">
        <v>2400</v>
      </c>
      <c r="K38" s="12">
        <f t="shared" si="1"/>
        <v>133.33333333333334</v>
      </c>
      <c r="L38" s="305">
        <v>18</v>
      </c>
      <c r="M38" s="13">
        <f t="shared" si="24"/>
        <v>2297.7777777777792</v>
      </c>
      <c r="N38" s="12">
        <f t="shared" si="3"/>
        <v>127.6543209876544</v>
      </c>
      <c r="O38" s="14">
        <f t="shared" si="4"/>
        <v>0</v>
      </c>
      <c r="P38" s="15">
        <f t="shared" si="5"/>
        <v>-5.6790123456789416</v>
      </c>
      <c r="Q38" s="294">
        <f t="shared" si="6"/>
        <v>0.95740740740740793</v>
      </c>
      <c r="R38" s="615"/>
      <c r="S38" s="34">
        <v>0.70833333333333326</v>
      </c>
      <c r="T38" s="34">
        <v>0.78333333333333321</v>
      </c>
      <c r="U38" s="295">
        <f t="shared" si="26"/>
        <v>4.9999999999999822</v>
      </c>
      <c r="V38" s="306">
        <f t="shared" si="25"/>
        <v>107.99999999999994</v>
      </c>
      <c r="W38" s="16"/>
      <c r="X38" s="16"/>
      <c r="Y38" s="16"/>
      <c r="Z38" s="16"/>
      <c r="AA38" s="301"/>
      <c r="AB38" s="302"/>
      <c r="AC38" s="35"/>
      <c r="AD38" s="18"/>
      <c r="AE38" s="14">
        <f t="shared" si="8"/>
        <v>-102.22222222222081</v>
      </c>
      <c r="AF38" s="294">
        <f t="shared" si="9"/>
        <v>0.95740740740740804</v>
      </c>
      <c r="AG38" s="615"/>
    </row>
    <row r="39" spans="1:33" ht="15.75" customHeight="1">
      <c r="A39" s="641" t="s">
        <v>10</v>
      </c>
      <c r="B39" s="29" t="s">
        <v>1351</v>
      </c>
      <c r="C39" s="618"/>
      <c r="D39" s="618"/>
      <c r="E39" s="297"/>
      <c r="F39" s="307"/>
      <c r="G39" s="295"/>
      <c r="H39" s="307"/>
      <c r="I39" s="23">
        <v>17.5</v>
      </c>
      <c r="J39" s="31">
        <v>2400</v>
      </c>
      <c r="K39" s="12">
        <f t="shared" si="1"/>
        <v>137.14285714285714</v>
      </c>
      <c r="L39" s="23">
        <v>17.5</v>
      </c>
      <c r="M39" s="13">
        <f>AVERAGE(M31:M38)</f>
        <v>2291.4290122356729</v>
      </c>
      <c r="N39" s="12">
        <f t="shared" si="3"/>
        <v>130.93880069918131</v>
      </c>
      <c r="O39" s="14">
        <f t="shared" si="4"/>
        <v>0</v>
      </c>
      <c r="P39" s="15">
        <f t="shared" si="5"/>
        <v>-6.2040564436758245</v>
      </c>
      <c r="Q39" s="294">
        <f t="shared" si="6"/>
        <v>0.95476208843153043</v>
      </c>
      <c r="R39" s="615"/>
      <c r="S39" s="34"/>
      <c r="T39" s="34"/>
      <c r="U39" s="295"/>
      <c r="V39" s="306"/>
      <c r="W39" s="295"/>
      <c r="X39" s="295"/>
      <c r="Y39" s="24">
        <f>SUM(Y31:Y38)</f>
        <v>0</v>
      </c>
      <c r="Z39" s="24">
        <f>SUM(Z31:Z38)</f>
        <v>0</v>
      </c>
      <c r="AA39" s="614"/>
      <c r="AB39" s="614"/>
      <c r="AC39" s="24">
        <v>8</v>
      </c>
      <c r="AD39" s="24">
        <f>SUM(AD31:AD38)</f>
        <v>0</v>
      </c>
      <c r="AE39" s="14">
        <f t="shared" si="8"/>
        <v>-108.57098776432713</v>
      </c>
      <c r="AF39" s="294">
        <f t="shared" si="9"/>
        <v>0.95476208843153032</v>
      </c>
      <c r="AG39" s="615"/>
    </row>
    <row r="40" spans="1:33" ht="15.75" customHeight="1">
      <c r="A40" s="638" t="s">
        <v>11</v>
      </c>
      <c r="B40" s="29" t="s">
        <v>32</v>
      </c>
      <c r="C40" s="616" t="s">
        <v>77</v>
      </c>
      <c r="D40" s="616"/>
      <c r="E40" s="29">
        <v>26.18</v>
      </c>
      <c r="F40" s="307">
        <v>4000</v>
      </c>
      <c r="G40" s="295">
        <f t="shared" ref="G40:G47" si="27">E40*F40</f>
        <v>104720</v>
      </c>
      <c r="H40" s="33">
        <v>2</v>
      </c>
      <c r="I40" s="305">
        <v>20</v>
      </c>
      <c r="J40" s="31">
        <v>2400</v>
      </c>
      <c r="K40" s="12">
        <f t="shared" si="1"/>
        <v>120</v>
      </c>
      <c r="L40" s="305">
        <v>20</v>
      </c>
      <c r="M40" s="13">
        <f t="shared" ref="M40:M47" si="28">F40/V40*60</f>
        <v>2285.7142857142858</v>
      </c>
      <c r="N40" s="12">
        <f t="shared" si="3"/>
        <v>114.28571428571429</v>
      </c>
      <c r="O40" s="14">
        <f t="shared" si="4"/>
        <v>0</v>
      </c>
      <c r="P40" s="15">
        <f t="shared" si="5"/>
        <v>-5.7142857142857082</v>
      </c>
      <c r="Q40" s="294">
        <f t="shared" si="6"/>
        <v>0.95238095238095244</v>
      </c>
      <c r="R40" s="615">
        <f>Q48</f>
        <v>0.9571077618678967</v>
      </c>
      <c r="S40" s="34">
        <v>8.3333333333333329E-2</v>
      </c>
      <c r="T40" s="34">
        <v>0.15625</v>
      </c>
      <c r="U40" s="295"/>
      <c r="V40" s="306">
        <f t="shared" ref="V40:V47" si="29">(T40-S40)*24*60</f>
        <v>105</v>
      </c>
      <c r="W40" s="21">
        <f>T40</f>
        <v>0.15625</v>
      </c>
      <c r="X40" s="21">
        <f>S41</f>
        <v>0.17499999999999999</v>
      </c>
      <c r="Y40" s="21"/>
      <c r="Z40" s="21"/>
      <c r="AA40" s="617"/>
      <c r="AB40" s="617"/>
      <c r="AC40" s="35">
        <v>8</v>
      </c>
      <c r="AD40" s="18"/>
      <c r="AE40" s="14">
        <f t="shared" si="8"/>
        <v>-114.28571428571422</v>
      </c>
      <c r="AF40" s="294">
        <f t="shared" si="9"/>
        <v>0.95238095238095244</v>
      </c>
      <c r="AG40" s="615">
        <f>AF48</f>
        <v>0.9571077618678967</v>
      </c>
    </row>
    <row r="41" spans="1:33" ht="15.75" customHeight="1">
      <c r="A41" s="638" t="s">
        <v>11</v>
      </c>
      <c r="B41" s="29" t="s">
        <v>32</v>
      </c>
      <c r="C41" s="616" t="s">
        <v>37</v>
      </c>
      <c r="D41" s="616"/>
      <c r="E41" s="29">
        <v>24.43</v>
      </c>
      <c r="F41" s="307">
        <v>4300</v>
      </c>
      <c r="G41" s="295">
        <f t="shared" si="27"/>
        <v>105049</v>
      </c>
      <c r="H41" s="33">
        <v>2</v>
      </c>
      <c r="I41" s="305">
        <v>14</v>
      </c>
      <c r="J41" s="31">
        <v>2400</v>
      </c>
      <c r="K41" s="12">
        <f t="shared" si="1"/>
        <v>171.42857142857142</v>
      </c>
      <c r="L41" s="305">
        <v>14</v>
      </c>
      <c r="M41" s="13">
        <f t="shared" si="28"/>
        <v>2303.5714285714289</v>
      </c>
      <c r="N41" s="12">
        <f t="shared" si="3"/>
        <v>164.54081632653063</v>
      </c>
      <c r="O41" s="14">
        <f t="shared" si="4"/>
        <v>0</v>
      </c>
      <c r="P41" s="15">
        <f t="shared" si="5"/>
        <v>-6.887755102040785</v>
      </c>
      <c r="Q41" s="294">
        <f t="shared" si="6"/>
        <v>0.95982142857142871</v>
      </c>
      <c r="R41" s="615"/>
      <c r="S41" s="34">
        <v>0.17499999999999999</v>
      </c>
      <c r="T41" s="34">
        <v>0.25277777777777777</v>
      </c>
      <c r="U41" s="295">
        <f t="shared" ref="U41:U47" si="30">(S41-T40)*24*60</f>
        <v>26.999999999999986</v>
      </c>
      <c r="V41" s="306">
        <f t="shared" si="29"/>
        <v>112</v>
      </c>
      <c r="W41" s="295"/>
      <c r="X41" s="295"/>
      <c r="Y41" s="295"/>
      <c r="Z41" s="295"/>
      <c r="AA41" s="617"/>
      <c r="AB41" s="617"/>
      <c r="AC41" s="35"/>
      <c r="AD41" s="18"/>
      <c r="AE41" s="14">
        <f t="shared" si="8"/>
        <v>-96.428571428571104</v>
      </c>
      <c r="AF41" s="294">
        <f t="shared" si="9"/>
        <v>0.95982142857142871</v>
      </c>
      <c r="AG41" s="615"/>
    </row>
    <row r="42" spans="1:33">
      <c r="A42" s="639" t="s">
        <v>11</v>
      </c>
      <c r="B42" s="29" t="s">
        <v>32</v>
      </c>
      <c r="C42" s="616" t="s">
        <v>38</v>
      </c>
      <c r="D42" s="616"/>
      <c r="E42" s="29">
        <v>25.98</v>
      </c>
      <c r="F42" s="307">
        <v>3598</v>
      </c>
      <c r="G42" s="295">
        <f t="shared" si="27"/>
        <v>93476.040000000008</v>
      </c>
      <c r="H42" s="33" t="s">
        <v>57</v>
      </c>
      <c r="I42" s="305">
        <v>21</v>
      </c>
      <c r="J42" s="31">
        <v>2400</v>
      </c>
      <c r="K42" s="12">
        <f t="shared" si="1"/>
        <v>114.28571428571429</v>
      </c>
      <c r="L42" s="305">
        <v>21</v>
      </c>
      <c r="M42" s="13">
        <f t="shared" si="28"/>
        <v>2296.5957446808511</v>
      </c>
      <c r="N42" s="12">
        <f t="shared" si="3"/>
        <v>109.36170212765958</v>
      </c>
      <c r="O42" s="14">
        <f t="shared" si="4"/>
        <v>0</v>
      </c>
      <c r="P42" s="15">
        <f t="shared" si="5"/>
        <v>-4.9240121580547083</v>
      </c>
      <c r="Q42" s="294">
        <f t="shared" si="6"/>
        <v>0.95691489361702131</v>
      </c>
      <c r="R42" s="615"/>
      <c r="S42" s="34">
        <v>0.25763888888888886</v>
      </c>
      <c r="T42" s="34">
        <v>0.32291666666666663</v>
      </c>
      <c r="U42" s="295">
        <f t="shared" si="30"/>
        <v>6.9999999999999751</v>
      </c>
      <c r="V42" s="306">
        <f t="shared" si="29"/>
        <v>93.999999999999986</v>
      </c>
      <c r="W42" s="295"/>
      <c r="X42" s="295"/>
      <c r="Y42" s="295"/>
      <c r="Z42" s="295"/>
      <c r="AA42" s="617"/>
      <c r="AB42" s="617"/>
      <c r="AC42" s="35"/>
      <c r="AD42" s="18"/>
      <c r="AE42" s="14">
        <f t="shared" si="8"/>
        <v>-103.40425531914889</v>
      </c>
      <c r="AF42" s="294">
        <f t="shared" si="9"/>
        <v>0.95691489361702131</v>
      </c>
      <c r="AG42" s="615"/>
    </row>
    <row r="43" spans="1:33">
      <c r="A43" s="639" t="s">
        <v>1352</v>
      </c>
      <c r="B43" s="29" t="s">
        <v>32</v>
      </c>
      <c r="C43" s="616" t="s">
        <v>39</v>
      </c>
      <c r="D43" s="616"/>
      <c r="E43" s="29">
        <v>34.1</v>
      </c>
      <c r="F43" s="307">
        <v>2800</v>
      </c>
      <c r="G43" s="295">
        <f t="shared" si="27"/>
        <v>95480</v>
      </c>
      <c r="H43" s="33">
        <v>2</v>
      </c>
      <c r="I43" s="305">
        <v>17</v>
      </c>
      <c r="J43" s="31">
        <v>1600</v>
      </c>
      <c r="K43" s="12">
        <f t="shared" si="1"/>
        <v>94.117647058823536</v>
      </c>
      <c r="L43" s="305">
        <v>17</v>
      </c>
      <c r="M43" s="13">
        <f t="shared" si="28"/>
        <v>1527.272727272727</v>
      </c>
      <c r="N43" s="12">
        <f t="shared" si="3"/>
        <v>89.839572192513359</v>
      </c>
      <c r="O43" s="14">
        <f t="shared" si="4"/>
        <v>0</v>
      </c>
      <c r="P43" s="15">
        <f t="shared" si="5"/>
        <v>-4.2780748663101775</v>
      </c>
      <c r="Q43" s="294">
        <f t="shared" si="6"/>
        <v>0.95454545454545436</v>
      </c>
      <c r="R43" s="615"/>
      <c r="S43" s="34">
        <v>0.32777777777777772</v>
      </c>
      <c r="T43" s="34">
        <v>0.40416666666666662</v>
      </c>
      <c r="U43" s="295">
        <f t="shared" si="30"/>
        <v>6.9999999999999751</v>
      </c>
      <c r="V43" s="306">
        <f t="shared" si="29"/>
        <v>110.00000000000001</v>
      </c>
      <c r="W43" s="16"/>
      <c r="X43" s="16"/>
      <c r="Y43" s="16"/>
      <c r="Z43" s="16"/>
      <c r="AA43" s="617"/>
      <c r="AB43" s="617"/>
      <c r="AC43" s="35"/>
      <c r="AD43" s="18"/>
      <c r="AE43" s="14">
        <f t="shared" si="8"/>
        <v>-72.727272727272975</v>
      </c>
      <c r="AF43" s="294">
        <f t="shared" si="9"/>
        <v>0.95454545454545436</v>
      </c>
      <c r="AG43" s="615"/>
    </row>
    <row r="44" spans="1:33">
      <c r="A44" s="639" t="s">
        <v>11</v>
      </c>
      <c r="B44" s="29" t="s">
        <v>32</v>
      </c>
      <c r="C44" s="616" t="s">
        <v>84</v>
      </c>
      <c r="D44" s="616"/>
      <c r="E44" s="29">
        <v>20.21</v>
      </c>
      <c r="F44" s="307">
        <v>4707</v>
      </c>
      <c r="G44" s="295">
        <f t="shared" si="27"/>
        <v>95128.47</v>
      </c>
      <c r="H44" s="33" t="s">
        <v>57</v>
      </c>
      <c r="I44" s="305">
        <v>18</v>
      </c>
      <c r="J44" s="31">
        <v>2400</v>
      </c>
      <c r="K44" s="12">
        <f t="shared" si="1"/>
        <v>133.33333333333334</v>
      </c>
      <c r="L44" s="305">
        <v>18</v>
      </c>
      <c r="M44" s="13">
        <f t="shared" si="28"/>
        <v>2296.0975609756106</v>
      </c>
      <c r="N44" s="12">
        <f t="shared" si="3"/>
        <v>127.56097560975614</v>
      </c>
      <c r="O44" s="14">
        <f t="shared" si="4"/>
        <v>0</v>
      </c>
      <c r="P44" s="15">
        <f t="shared" si="5"/>
        <v>-5.7723577235772012</v>
      </c>
      <c r="Q44" s="294">
        <f t="shared" si="6"/>
        <v>0.95670731707317103</v>
      </c>
      <c r="R44" s="615"/>
      <c r="S44" s="34">
        <v>0.40902777777777771</v>
      </c>
      <c r="T44" s="34">
        <v>0.49444444444444435</v>
      </c>
      <c r="U44" s="295">
        <f t="shared" si="30"/>
        <v>6.9999999999999751</v>
      </c>
      <c r="V44" s="306">
        <f t="shared" si="29"/>
        <v>122.99999999999996</v>
      </c>
      <c r="W44" s="16">
        <f>T44</f>
        <v>0.49444444444444435</v>
      </c>
      <c r="X44" s="16">
        <f>S45</f>
        <v>0.53611111111111098</v>
      </c>
      <c r="Y44" s="16"/>
      <c r="Z44" s="16"/>
      <c r="AA44" s="617"/>
      <c r="AB44" s="617"/>
      <c r="AC44" s="35"/>
      <c r="AD44" s="18"/>
      <c r="AE44" s="14">
        <f t="shared" si="8"/>
        <v>-103.90243902438942</v>
      </c>
      <c r="AF44" s="294">
        <f t="shared" si="9"/>
        <v>0.95670731707317103</v>
      </c>
      <c r="AG44" s="615"/>
    </row>
    <row r="45" spans="1:33">
      <c r="A45" s="639" t="s">
        <v>11</v>
      </c>
      <c r="B45" s="29" t="s">
        <v>32</v>
      </c>
      <c r="C45" s="616" t="s">
        <v>39</v>
      </c>
      <c r="D45" s="616"/>
      <c r="E45" s="29">
        <v>34.1</v>
      </c>
      <c r="F45" s="307">
        <v>4487</v>
      </c>
      <c r="G45" s="295">
        <f t="shared" si="27"/>
        <v>153006.70000000001</v>
      </c>
      <c r="H45" s="33" t="s">
        <v>57</v>
      </c>
      <c r="I45" s="305">
        <v>17</v>
      </c>
      <c r="J45" s="31">
        <v>1600</v>
      </c>
      <c r="K45" s="12">
        <f t="shared" si="1"/>
        <v>94.117647058823536</v>
      </c>
      <c r="L45" s="305">
        <v>17</v>
      </c>
      <c r="M45" s="13">
        <f t="shared" si="28"/>
        <v>1529.659090909091</v>
      </c>
      <c r="N45" s="12">
        <f t="shared" si="3"/>
        <v>89.979946524064175</v>
      </c>
      <c r="O45" s="14">
        <f t="shared" si="4"/>
        <v>0</v>
      </c>
      <c r="P45" s="15">
        <f t="shared" si="5"/>
        <v>-4.1377005347593609</v>
      </c>
      <c r="Q45" s="294">
        <f t="shared" si="6"/>
        <v>0.95603693181818183</v>
      </c>
      <c r="R45" s="615"/>
      <c r="S45" s="34">
        <v>0.53611111111111098</v>
      </c>
      <c r="T45" s="34">
        <v>0.65833333333333321</v>
      </c>
      <c r="U45" s="295">
        <f t="shared" si="30"/>
        <v>59.999999999999943</v>
      </c>
      <c r="V45" s="306">
        <f t="shared" si="29"/>
        <v>176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-70.340909090909008</v>
      </c>
      <c r="AF45" s="294">
        <f t="shared" si="9"/>
        <v>0.95603693181818183</v>
      </c>
      <c r="AG45" s="615"/>
    </row>
    <row r="46" spans="1:33">
      <c r="A46" s="639" t="s">
        <v>11</v>
      </c>
      <c r="B46" s="29" t="s">
        <v>32</v>
      </c>
      <c r="C46" s="616" t="s">
        <v>77</v>
      </c>
      <c r="D46" s="616"/>
      <c r="E46" s="29">
        <v>26.18</v>
      </c>
      <c r="F46" s="307">
        <v>2961</v>
      </c>
      <c r="G46" s="295">
        <f t="shared" si="27"/>
        <v>77518.98</v>
      </c>
      <c r="H46" s="33" t="s">
        <v>57</v>
      </c>
      <c r="I46" s="305">
        <v>20</v>
      </c>
      <c r="J46" s="31">
        <v>2400</v>
      </c>
      <c r="K46" s="12">
        <f t="shared" si="1"/>
        <v>120</v>
      </c>
      <c r="L46" s="305">
        <v>20</v>
      </c>
      <c r="M46" s="13">
        <f t="shared" si="28"/>
        <v>2307.2727272727261</v>
      </c>
      <c r="N46" s="12">
        <f t="shared" si="3"/>
        <v>115.3636363636363</v>
      </c>
      <c r="O46" s="14">
        <f t="shared" si="4"/>
        <v>0</v>
      </c>
      <c r="P46" s="15">
        <f t="shared" si="5"/>
        <v>-4.6363636363636971</v>
      </c>
      <c r="Q46" s="294">
        <f t="shared" si="6"/>
        <v>0.96136363636363587</v>
      </c>
      <c r="R46" s="615"/>
      <c r="S46" s="34">
        <v>0.66249999999999987</v>
      </c>
      <c r="T46" s="34">
        <v>0.71597222222222212</v>
      </c>
      <c r="U46" s="295">
        <f t="shared" si="30"/>
        <v>5.9999999999999787</v>
      </c>
      <c r="V46" s="306">
        <f t="shared" si="29"/>
        <v>77.000000000000043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-92.727272727273885</v>
      </c>
      <c r="AF46" s="294">
        <f t="shared" si="9"/>
        <v>0.96136363636363587</v>
      </c>
      <c r="AG46" s="615"/>
    </row>
    <row r="47" spans="1:33">
      <c r="A47" s="639" t="s">
        <v>11</v>
      </c>
      <c r="B47" s="29" t="s">
        <v>32</v>
      </c>
      <c r="C47" s="616" t="s">
        <v>37</v>
      </c>
      <c r="D47" s="616"/>
      <c r="E47" s="29">
        <v>24.43</v>
      </c>
      <c r="F47" s="307">
        <v>3525</v>
      </c>
      <c r="G47" s="295">
        <f t="shared" si="27"/>
        <v>86115.75</v>
      </c>
      <c r="H47" s="33" t="s">
        <v>57</v>
      </c>
      <c r="I47" s="305">
        <v>14</v>
      </c>
      <c r="J47" s="31">
        <v>2400</v>
      </c>
      <c r="K47" s="12">
        <f t="shared" si="1"/>
        <v>171.42857142857142</v>
      </c>
      <c r="L47" s="305">
        <v>14</v>
      </c>
      <c r="M47" s="13">
        <f t="shared" si="28"/>
        <v>2298.913043478261</v>
      </c>
      <c r="N47" s="12">
        <f t="shared" si="3"/>
        <v>164.20807453416151</v>
      </c>
      <c r="O47" s="14">
        <f t="shared" si="4"/>
        <v>0</v>
      </c>
      <c r="P47" s="15">
        <f t="shared" si="5"/>
        <v>-7.2204968944099051</v>
      </c>
      <c r="Q47" s="294">
        <f t="shared" si="6"/>
        <v>0.95788043478260887</v>
      </c>
      <c r="R47" s="615"/>
      <c r="S47" s="34">
        <v>0.72083333333333321</v>
      </c>
      <c r="T47" s="34">
        <v>0.7847222222222221</v>
      </c>
      <c r="U47" s="295">
        <f t="shared" si="30"/>
        <v>6.9999999999999751</v>
      </c>
      <c r="V47" s="306">
        <f t="shared" si="29"/>
        <v>92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-101.08695652173901</v>
      </c>
      <c r="AF47" s="294">
        <f t="shared" si="9"/>
        <v>0.95788043478260876</v>
      </c>
      <c r="AG47" s="615"/>
    </row>
    <row r="48" spans="1:33">
      <c r="A48" s="639" t="s">
        <v>11</v>
      </c>
      <c r="B48" s="30" t="s">
        <v>6</v>
      </c>
      <c r="C48" s="618"/>
      <c r="D48" s="618"/>
      <c r="E48" s="297"/>
      <c r="F48" s="30"/>
      <c r="G48" s="12"/>
      <c r="H48" s="307"/>
      <c r="I48" s="23">
        <v>17.625</v>
      </c>
      <c r="J48" s="31">
        <v>2200</v>
      </c>
      <c r="K48" s="12">
        <f t="shared" si="1"/>
        <v>124.822695035461</v>
      </c>
      <c r="L48" s="23">
        <v>17.625</v>
      </c>
      <c r="M48" s="13">
        <f>AVERAGE(M40:M47)</f>
        <v>2105.6370761093726</v>
      </c>
      <c r="N48" s="12">
        <f t="shared" si="3"/>
        <v>119.46877027570909</v>
      </c>
      <c r="O48" s="14">
        <f t="shared" si="4"/>
        <v>0</v>
      </c>
      <c r="P48" s="15">
        <f t="shared" si="5"/>
        <v>-5.3539247597519051</v>
      </c>
      <c r="Q48" s="294">
        <f t="shared" si="6"/>
        <v>0.9571077618678967</v>
      </c>
      <c r="R48" s="615"/>
      <c r="S48" s="34"/>
      <c r="T48" s="34"/>
      <c r="U48" s="12"/>
      <c r="V48" s="306"/>
      <c r="W48" s="12"/>
      <c r="X48" s="12"/>
      <c r="Y48" s="24">
        <f>SUM(Y40:Y47)</f>
        <v>0</v>
      </c>
      <c r="Z48" s="24">
        <f>SUM(Z40:Z47)</f>
        <v>0</v>
      </c>
      <c r="AA48" s="614"/>
      <c r="AB48" s="614"/>
      <c r="AC48" s="24">
        <v>8</v>
      </c>
      <c r="AD48" s="24">
        <f>SUM(AD40:AD47)</f>
        <v>0</v>
      </c>
      <c r="AE48" s="14">
        <f t="shared" si="8"/>
        <v>-94.362923890627371</v>
      </c>
      <c r="AF48" s="294">
        <f t="shared" si="9"/>
        <v>0.9571077618678967</v>
      </c>
      <c r="AG48" s="615"/>
    </row>
    <row r="49" spans="1:33" ht="15.75" customHeight="1">
      <c r="A49" s="632" t="s">
        <v>1353</v>
      </c>
      <c r="B49" s="29" t="s">
        <v>40</v>
      </c>
      <c r="C49" s="622" t="s">
        <v>41</v>
      </c>
      <c r="D49" s="623"/>
      <c r="E49" s="29">
        <v>37.880000000000003</v>
      </c>
      <c r="F49" s="307">
        <v>667</v>
      </c>
      <c r="G49" s="295">
        <f t="shared" ref="G49:G52" si="31">E49*F49</f>
        <v>25265.960000000003</v>
      </c>
      <c r="H49" s="33" t="s">
        <v>57</v>
      </c>
      <c r="I49" s="305">
        <v>13</v>
      </c>
      <c r="J49" s="31">
        <v>2000</v>
      </c>
      <c r="K49" s="12">
        <f t="shared" si="1"/>
        <v>153.84615384615384</v>
      </c>
      <c r="L49" s="305">
        <v>13</v>
      </c>
      <c r="M49" s="13">
        <f t="shared" ref="M49:M52" si="32">F49/V49*60</f>
        <v>1905.7142857142851</v>
      </c>
      <c r="N49" s="13">
        <f t="shared" si="3"/>
        <v>146.59340659340654</v>
      </c>
      <c r="O49" s="14">
        <f t="shared" si="4"/>
        <v>0</v>
      </c>
      <c r="P49" s="15">
        <f t="shared" si="5"/>
        <v>-7.252747252747298</v>
      </c>
      <c r="Q49" s="294">
        <f t="shared" si="6"/>
        <v>0.95285714285714251</v>
      </c>
      <c r="R49" s="635">
        <f>Q53</f>
        <v>0.95283753656022641</v>
      </c>
      <c r="S49" s="34">
        <v>8.3333333333333329E-2</v>
      </c>
      <c r="T49" s="34">
        <v>9.7916666666666666E-2</v>
      </c>
      <c r="U49" s="21"/>
      <c r="V49" s="306">
        <f t="shared" ref="V49:V52" si="33">(T49-S49)*24*60</f>
        <v>21.000000000000007</v>
      </c>
      <c r="W49" s="16">
        <f>T49</f>
        <v>9.7916666666666666E-2</v>
      </c>
      <c r="X49" s="16">
        <f>S50</f>
        <v>0.11527777777777778</v>
      </c>
      <c r="Y49" s="19"/>
      <c r="Z49" s="19"/>
      <c r="AA49" s="624"/>
      <c r="AB49" s="625"/>
      <c r="AC49" s="35">
        <v>4</v>
      </c>
      <c r="AD49" s="18"/>
      <c r="AE49" s="14">
        <f t="shared" si="8"/>
        <v>-94.285714285714903</v>
      </c>
      <c r="AF49" s="294">
        <f t="shared" si="9"/>
        <v>0.95285714285714251</v>
      </c>
      <c r="AG49" s="635">
        <f>AF53</f>
        <v>0.95283753656022652</v>
      </c>
    </row>
    <row r="50" spans="1:33" ht="15.75" customHeight="1">
      <c r="A50" s="633" t="s">
        <v>1353</v>
      </c>
      <c r="B50" s="29" t="s">
        <v>40</v>
      </c>
      <c r="C50" s="622" t="s">
        <v>42</v>
      </c>
      <c r="D50" s="623"/>
      <c r="E50" s="29">
        <v>35.119999999999997</v>
      </c>
      <c r="F50" s="307">
        <v>6115</v>
      </c>
      <c r="G50" s="295">
        <f t="shared" si="31"/>
        <v>214758.8</v>
      </c>
      <c r="H50" s="33" t="s">
        <v>57</v>
      </c>
      <c r="I50" s="305">
        <v>10</v>
      </c>
      <c r="J50" s="31">
        <v>3000</v>
      </c>
      <c r="K50" s="12">
        <f t="shared" si="1"/>
        <v>300</v>
      </c>
      <c r="L50" s="305">
        <v>10</v>
      </c>
      <c r="M50" s="13">
        <f t="shared" si="32"/>
        <v>2866.4062500000005</v>
      </c>
      <c r="N50" s="13">
        <f t="shared" si="3"/>
        <v>286.64062500000006</v>
      </c>
      <c r="O50" s="14">
        <f t="shared" si="4"/>
        <v>0</v>
      </c>
      <c r="P50" s="15">
        <f t="shared" si="5"/>
        <v>-13.359374999999943</v>
      </c>
      <c r="Q50" s="294">
        <f t="shared" si="6"/>
        <v>0.9554687500000002</v>
      </c>
      <c r="R50" s="636"/>
      <c r="S50" s="34">
        <v>0.11527777777777778</v>
      </c>
      <c r="T50" s="34">
        <v>0.20416666666666666</v>
      </c>
      <c r="U50" s="295">
        <f t="shared" ref="U50:U52" si="34">(S50-T49)*24*60</f>
        <v>25.000000000000011</v>
      </c>
      <c r="V50" s="306">
        <f t="shared" si="33"/>
        <v>127.99999999999997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-133.59374999999955</v>
      </c>
      <c r="AF50" s="294">
        <f t="shared" si="9"/>
        <v>0.9554687500000002</v>
      </c>
      <c r="AG50" s="636"/>
    </row>
    <row r="51" spans="1:33" ht="15.75" customHeight="1">
      <c r="A51" s="633" t="s">
        <v>1353</v>
      </c>
      <c r="B51" s="29" t="s">
        <v>40</v>
      </c>
      <c r="C51" s="622" t="s">
        <v>43</v>
      </c>
      <c r="D51" s="623"/>
      <c r="E51" s="29">
        <v>21.13</v>
      </c>
      <c r="F51" s="307">
        <v>6043</v>
      </c>
      <c r="G51" s="295">
        <f t="shared" si="31"/>
        <v>127688.59</v>
      </c>
      <c r="H51" s="33" t="s">
        <v>57</v>
      </c>
      <c r="I51" s="305">
        <v>10</v>
      </c>
      <c r="J51" s="31">
        <v>3000</v>
      </c>
      <c r="K51" s="12">
        <f t="shared" si="1"/>
        <v>300</v>
      </c>
      <c r="L51" s="305">
        <v>10</v>
      </c>
      <c r="M51" s="13">
        <f t="shared" si="32"/>
        <v>2854.9606299212592</v>
      </c>
      <c r="N51" s="13">
        <f t="shared" si="3"/>
        <v>285.49606299212593</v>
      </c>
      <c r="O51" s="14">
        <f t="shared" si="4"/>
        <v>0</v>
      </c>
      <c r="P51" s="15">
        <f t="shared" si="5"/>
        <v>-14.503937007874072</v>
      </c>
      <c r="Q51" s="294">
        <f t="shared" si="6"/>
        <v>0.9516535433070864</v>
      </c>
      <c r="R51" s="636"/>
      <c r="S51" s="34">
        <v>0.20763888888888887</v>
      </c>
      <c r="T51" s="34">
        <v>0.29583333333333334</v>
      </c>
      <c r="U51" s="295">
        <f t="shared" si="34"/>
        <v>4.9999999999999822</v>
      </c>
      <c r="V51" s="306">
        <f t="shared" si="33"/>
        <v>127.00000000000003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-145.03937007874083</v>
      </c>
      <c r="AF51" s="294">
        <f t="shared" si="9"/>
        <v>0.9516535433070864</v>
      </c>
      <c r="AG51" s="636"/>
    </row>
    <row r="52" spans="1:33" ht="15.75" customHeight="1">
      <c r="A52" s="633" t="s">
        <v>12</v>
      </c>
      <c r="B52" s="29" t="s">
        <v>40</v>
      </c>
      <c r="C52" s="622" t="s">
        <v>44</v>
      </c>
      <c r="D52" s="623"/>
      <c r="E52" s="29">
        <v>27.17</v>
      </c>
      <c r="F52" s="307">
        <v>7944</v>
      </c>
      <c r="G52" s="295">
        <f t="shared" si="31"/>
        <v>215838.48</v>
      </c>
      <c r="H52" s="33" t="s">
        <v>57</v>
      </c>
      <c r="I52" s="305">
        <v>10</v>
      </c>
      <c r="J52" s="31">
        <v>3000</v>
      </c>
      <c r="K52" s="12">
        <f t="shared" si="1"/>
        <v>300</v>
      </c>
      <c r="L52" s="305">
        <v>10</v>
      </c>
      <c r="M52" s="13">
        <f t="shared" si="32"/>
        <v>2854.1317365269465</v>
      </c>
      <c r="N52" s="13">
        <f t="shared" si="3"/>
        <v>285.41317365269464</v>
      </c>
      <c r="O52" s="14">
        <f t="shared" si="4"/>
        <v>0</v>
      </c>
      <c r="P52" s="15">
        <f t="shared" si="5"/>
        <v>-14.586826347305362</v>
      </c>
      <c r="Q52" s="294">
        <f t="shared" si="6"/>
        <v>0.95137724550898217</v>
      </c>
      <c r="R52" s="636"/>
      <c r="S52" s="34">
        <v>0.30138888888888887</v>
      </c>
      <c r="T52" s="34">
        <v>0.41736111111111107</v>
      </c>
      <c r="U52" s="295">
        <f t="shared" si="34"/>
        <v>7.9999999999999716</v>
      </c>
      <c r="V52" s="306">
        <f t="shared" si="33"/>
        <v>166.99999999999997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-145.8682634730535</v>
      </c>
      <c r="AF52" s="294">
        <f t="shared" si="9"/>
        <v>0.95137724550898217</v>
      </c>
      <c r="AG52" s="636"/>
    </row>
    <row r="53" spans="1:33" ht="15.75" customHeight="1">
      <c r="A53" s="634" t="s">
        <v>12</v>
      </c>
      <c r="B53" s="29" t="s">
        <v>1351</v>
      </c>
      <c r="C53" s="612"/>
      <c r="D53" s="613"/>
      <c r="E53" s="296"/>
      <c r="F53" s="307"/>
      <c r="G53" s="295"/>
      <c r="H53" s="307"/>
      <c r="I53" s="23">
        <v>10.75</v>
      </c>
      <c r="J53" s="31">
        <v>2750</v>
      </c>
      <c r="K53" s="12">
        <f t="shared" si="1"/>
        <v>255.81395348837211</v>
      </c>
      <c r="L53" s="23">
        <v>10.75</v>
      </c>
      <c r="M53" s="13">
        <f>AVERAGE(M49:M52)</f>
        <v>2620.3032255406229</v>
      </c>
      <c r="N53" s="12">
        <f t="shared" si="3"/>
        <v>243.74913725959283</v>
      </c>
      <c r="O53" s="14">
        <f t="shared" si="4"/>
        <v>0</v>
      </c>
      <c r="P53" s="15">
        <f t="shared" si="5"/>
        <v>-12.064816228779279</v>
      </c>
      <c r="Q53" s="294">
        <f t="shared" si="6"/>
        <v>0.95283753656022641</v>
      </c>
      <c r="R53" s="637"/>
      <c r="S53" s="34"/>
      <c r="T53" s="34"/>
      <c r="U53" s="295"/>
      <c r="V53" s="306"/>
      <c r="W53" s="16"/>
      <c r="X53" s="16"/>
      <c r="Y53" s="24">
        <f>SUM(Y49:Y52)</f>
        <v>0</v>
      </c>
      <c r="Z53" s="24">
        <f>SUM(Z49:Z52)</f>
        <v>0</v>
      </c>
      <c r="AA53" s="628"/>
      <c r="AB53" s="629"/>
      <c r="AC53" s="24">
        <v>4</v>
      </c>
      <c r="AD53" s="24">
        <f>SUM(AD49:AD52)</f>
        <v>0</v>
      </c>
      <c r="AE53" s="14">
        <f t="shared" si="8"/>
        <v>-129.69677445937714</v>
      </c>
      <c r="AF53" s="294">
        <f t="shared" si="9"/>
        <v>0.95283753656022652</v>
      </c>
      <c r="AG53" s="637"/>
    </row>
    <row r="54" spans="1:33" ht="15.75" customHeight="1">
      <c r="A54" s="630" t="s">
        <v>1354</v>
      </c>
      <c r="B54" s="29" t="s">
        <v>15</v>
      </c>
      <c r="C54" s="616" t="s">
        <v>46</v>
      </c>
      <c r="D54" s="616"/>
      <c r="E54" s="29">
        <v>56.43</v>
      </c>
      <c r="F54" s="32">
        <v>1844</v>
      </c>
      <c r="G54" s="295">
        <f t="shared" ref="G54:G61" si="35">E54*F54</f>
        <v>104056.92</v>
      </c>
      <c r="H54" s="33" t="s">
        <v>57</v>
      </c>
      <c r="I54" s="305">
        <v>22</v>
      </c>
      <c r="J54" s="31">
        <v>2000</v>
      </c>
      <c r="K54" s="12">
        <f t="shared" si="1"/>
        <v>90.909090909090907</v>
      </c>
      <c r="L54" s="305">
        <v>22</v>
      </c>
      <c r="M54" s="13">
        <f t="shared" ref="M54" si="36">F54/V54*60</f>
        <v>1907.5862068965519</v>
      </c>
      <c r="N54" s="13">
        <f t="shared" si="3"/>
        <v>86.708463949843264</v>
      </c>
      <c r="O54" s="14">
        <f t="shared" si="4"/>
        <v>0</v>
      </c>
      <c r="P54" s="15">
        <f t="shared" si="5"/>
        <v>-4.2006269592476428</v>
      </c>
      <c r="Q54" s="294">
        <f t="shared" si="6"/>
        <v>0.95379310344827595</v>
      </c>
      <c r="R54" s="615">
        <f>Q62</f>
        <v>0.95824238284759478</v>
      </c>
      <c r="S54" s="34">
        <v>0.16666666666666666</v>
      </c>
      <c r="T54" s="34">
        <v>0.20694444444444443</v>
      </c>
      <c r="U54" s="21"/>
      <c r="V54" s="306">
        <f t="shared" ref="V54:V61" si="37">(T54-S54)*24*60</f>
        <v>57.999999999999993</v>
      </c>
      <c r="W54" s="16">
        <f>T54</f>
        <v>0.20694444444444443</v>
      </c>
      <c r="X54" s="16">
        <f>S55</f>
        <v>0.22569444444444445</v>
      </c>
      <c r="Y54" s="21"/>
      <c r="Z54" s="21"/>
      <c r="AA54" s="617"/>
      <c r="AB54" s="617"/>
      <c r="AC54" s="35">
        <v>8</v>
      </c>
      <c r="AD54" s="18"/>
      <c r="AE54" s="14">
        <f t="shared" si="8"/>
        <v>-92.413793103448143</v>
      </c>
      <c r="AF54" s="294">
        <f t="shared" si="9"/>
        <v>0.95379310344827595</v>
      </c>
      <c r="AG54" s="615">
        <f>AF62</f>
        <v>0.95824238284759478</v>
      </c>
    </row>
    <row r="55" spans="1:33" ht="15.75" customHeight="1">
      <c r="A55" s="630" t="s">
        <v>568</v>
      </c>
      <c r="B55" s="29" t="s">
        <v>19</v>
      </c>
      <c r="C55" s="616" t="s">
        <v>81</v>
      </c>
      <c r="D55" s="616"/>
      <c r="E55" s="29">
        <v>46</v>
      </c>
      <c r="F55" s="32">
        <v>3747</v>
      </c>
      <c r="G55" s="295">
        <f t="shared" si="35"/>
        <v>172362</v>
      </c>
      <c r="H55" s="33" t="s">
        <v>57</v>
      </c>
      <c r="I55" s="305">
        <v>16</v>
      </c>
      <c r="J55" s="31">
        <v>2000</v>
      </c>
      <c r="K55" s="12">
        <f t="shared" si="1"/>
        <v>125</v>
      </c>
      <c r="L55" s="305">
        <v>16</v>
      </c>
      <c r="M55" s="13">
        <f>F55/V55*60</f>
        <v>1905.2542372881353</v>
      </c>
      <c r="N55" s="13">
        <f t="shared" si="3"/>
        <v>119.07838983050846</v>
      </c>
      <c r="O55" s="14">
        <f t="shared" si="4"/>
        <v>0</v>
      </c>
      <c r="P55" s="15">
        <f t="shared" si="5"/>
        <v>-5.9216101694915437</v>
      </c>
      <c r="Q55" s="294">
        <f t="shared" si="6"/>
        <v>0.95262711864406768</v>
      </c>
      <c r="R55" s="615"/>
      <c r="S55" s="34">
        <v>0.22569444444444445</v>
      </c>
      <c r="T55" s="34">
        <v>0.30763888888888891</v>
      </c>
      <c r="U55" s="295">
        <f t="shared" ref="U55:U61" si="38">IF(S55=TIME(17,0,0),"",(S55-T54)*24*60)</f>
        <v>27.000000000000025</v>
      </c>
      <c r="V55" s="306">
        <f t="shared" si="37"/>
        <v>118.00000000000001</v>
      </c>
      <c r="W55" s="16"/>
      <c r="X55" s="16"/>
      <c r="Y55" s="16"/>
      <c r="Z55" s="16"/>
      <c r="AA55" s="617"/>
      <c r="AB55" s="617"/>
      <c r="AC55" s="35"/>
      <c r="AD55" s="18"/>
      <c r="AE55" s="14">
        <f t="shared" si="8"/>
        <v>-94.7457627118647</v>
      </c>
      <c r="AF55" s="294">
        <f t="shared" si="9"/>
        <v>0.95262711864406768</v>
      </c>
      <c r="AG55" s="615"/>
    </row>
    <row r="56" spans="1:33" ht="15.75" customHeight="1">
      <c r="A56" s="630" t="s">
        <v>1354</v>
      </c>
      <c r="B56" s="29" t="s">
        <v>19</v>
      </c>
      <c r="C56" s="622" t="s">
        <v>945</v>
      </c>
      <c r="D56" s="623"/>
      <c r="E56" s="29">
        <v>46</v>
      </c>
      <c r="F56" s="32">
        <v>6504</v>
      </c>
      <c r="G56" s="295">
        <f t="shared" si="35"/>
        <v>299184</v>
      </c>
      <c r="H56" s="33" t="s">
        <v>57</v>
      </c>
      <c r="I56" s="305">
        <v>17</v>
      </c>
      <c r="J56" s="31">
        <v>2000</v>
      </c>
      <c r="K56" s="12">
        <f t="shared" si="1"/>
        <v>117.64705882352941</v>
      </c>
      <c r="L56" s="305">
        <v>17</v>
      </c>
      <c r="M56" s="13">
        <f t="shared" ref="M56:M61" si="39">F56/V56*60</f>
        <v>1903.6097560975609</v>
      </c>
      <c r="N56" s="13">
        <f t="shared" si="3"/>
        <v>111.97704447632711</v>
      </c>
      <c r="O56" s="14">
        <f t="shared" si="4"/>
        <v>0</v>
      </c>
      <c r="P56" s="15">
        <f t="shared" si="5"/>
        <v>-5.6700143472022972</v>
      </c>
      <c r="Q56" s="294">
        <f t="shared" si="6"/>
        <v>0.95180487804878044</v>
      </c>
      <c r="R56" s="615"/>
      <c r="S56" s="34">
        <v>0.3125</v>
      </c>
      <c r="T56" s="34">
        <v>0.4548611111111111</v>
      </c>
      <c r="U56" s="295">
        <f t="shared" si="38"/>
        <v>6.9999999999999751</v>
      </c>
      <c r="V56" s="306">
        <f t="shared" si="37"/>
        <v>205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-96.390243902439124</v>
      </c>
      <c r="AF56" s="294">
        <f t="shared" si="9"/>
        <v>0.95180487804878044</v>
      </c>
      <c r="AG56" s="615"/>
    </row>
    <row r="57" spans="1:33" ht="15.75" customHeight="1">
      <c r="A57" s="630" t="s">
        <v>568</v>
      </c>
      <c r="B57" s="29" t="s">
        <v>15</v>
      </c>
      <c r="C57" s="299" t="s">
        <v>27</v>
      </c>
      <c r="D57" s="300"/>
      <c r="E57" s="29">
        <v>59.04</v>
      </c>
      <c r="F57" s="32">
        <v>3079</v>
      </c>
      <c r="G57" s="295">
        <f t="shared" si="35"/>
        <v>181784.16</v>
      </c>
      <c r="H57" s="33" t="s">
        <v>57</v>
      </c>
      <c r="I57" s="305">
        <v>19</v>
      </c>
      <c r="J57" s="31">
        <v>2000</v>
      </c>
      <c r="K57" s="12">
        <f t="shared" si="1"/>
        <v>105.26315789473684</v>
      </c>
      <c r="L57" s="305">
        <v>19</v>
      </c>
      <c r="M57" s="13">
        <f t="shared" si="39"/>
        <v>1924.3749999999991</v>
      </c>
      <c r="N57" s="13">
        <f t="shared" si="3"/>
        <v>101.28289473684205</v>
      </c>
      <c r="O57" s="14">
        <f t="shared" si="4"/>
        <v>0</v>
      </c>
      <c r="P57" s="15">
        <f t="shared" si="5"/>
        <v>-3.9802631578947825</v>
      </c>
      <c r="Q57" s="294">
        <f t="shared" si="6"/>
        <v>0.96218749999999953</v>
      </c>
      <c r="R57" s="615"/>
      <c r="S57" s="34">
        <v>0.4597222222222222</v>
      </c>
      <c r="T57" s="34">
        <v>0.52638888888888891</v>
      </c>
      <c r="U57" s="295">
        <f t="shared" si="38"/>
        <v>6.9999999999999751</v>
      </c>
      <c r="V57" s="306">
        <f t="shared" si="37"/>
        <v>96.000000000000057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-75.625000000000909</v>
      </c>
      <c r="AF57" s="294">
        <f t="shared" si="9"/>
        <v>0.96218749999999953</v>
      </c>
      <c r="AG57" s="615"/>
    </row>
    <row r="58" spans="1:33" ht="15.75" customHeight="1">
      <c r="A58" s="630" t="s">
        <v>568</v>
      </c>
      <c r="B58" s="29" t="s">
        <v>15</v>
      </c>
      <c r="C58" s="299" t="s">
        <v>48</v>
      </c>
      <c r="D58" s="300"/>
      <c r="E58" s="29">
        <v>55.56</v>
      </c>
      <c r="F58" s="32">
        <v>2510</v>
      </c>
      <c r="G58" s="295">
        <f t="shared" si="35"/>
        <v>139455.6</v>
      </c>
      <c r="H58" s="33" t="s">
        <v>57</v>
      </c>
      <c r="I58" s="305">
        <v>17</v>
      </c>
      <c r="J58" s="31">
        <v>2000</v>
      </c>
      <c r="K58" s="12">
        <f t="shared" si="1"/>
        <v>117.64705882352941</v>
      </c>
      <c r="L58" s="305">
        <v>17</v>
      </c>
      <c r="M58" s="13">
        <f t="shared" si="39"/>
        <v>1906.3291139240498</v>
      </c>
      <c r="N58" s="13">
        <f t="shared" si="3"/>
        <v>112.13700670141469</v>
      </c>
      <c r="O58" s="14">
        <f t="shared" si="4"/>
        <v>0</v>
      </c>
      <c r="P58" s="15">
        <f t="shared" si="5"/>
        <v>-5.5100521221147147</v>
      </c>
      <c r="Q58" s="294">
        <f t="shared" si="6"/>
        <v>0.95316455696202496</v>
      </c>
      <c r="R58" s="615"/>
      <c r="S58" s="34">
        <v>0.70833333333333337</v>
      </c>
      <c r="T58" s="34">
        <v>0.76319444444444451</v>
      </c>
      <c r="U58" s="295" t="str">
        <f t="shared" si="38"/>
        <v/>
      </c>
      <c r="V58" s="306">
        <f t="shared" si="37"/>
        <v>79.000000000000043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-93.670886075950193</v>
      </c>
      <c r="AF58" s="294">
        <f t="shared" si="9"/>
        <v>0.95316455696202496</v>
      </c>
      <c r="AG58" s="615"/>
    </row>
    <row r="59" spans="1:33" ht="15.75" customHeight="1">
      <c r="A59" s="630" t="s">
        <v>568</v>
      </c>
      <c r="B59" s="29" t="s">
        <v>15</v>
      </c>
      <c r="C59" s="622" t="s">
        <v>841</v>
      </c>
      <c r="D59" s="623"/>
      <c r="E59" s="29">
        <v>54.09</v>
      </c>
      <c r="F59" s="32">
        <v>1954</v>
      </c>
      <c r="G59" s="295">
        <f t="shared" si="35"/>
        <v>105691.86</v>
      </c>
      <c r="H59" s="33" t="s">
        <v>57</v>
      </c>
      <c r="I59" s="305">
        <v>13</v>
      </c>
      <c r="J59" s="31">
        <v>2000</v>
      </c>
      <c r="K59" s="12">
        <f t="shared" si="1"/>
        <v>153.84615384615384</v>
      </c>
      <c r="L59" s="305">
        <v>13</v>
      </c>
      <c r="M59" s="13">
        <f t="shared" si="39"/>
        <v>1921.9672131147561</v>
      </c>
      <c r="N59" s="13">
        <f t="shared" si="3"/>
        <v>147.84363177805815</v>
      </c>
      <c r="O59" s="14">
        <f t="shared" si="4"/>
        <v>0</v>
      </c>
      <c r="P59" s="15">
        <f t="shared" si="5"/>
        <v>-6.0025220680956863</v>
      </c>
      <c r="Q59" s="294">
        <f t="shared" si="6"/>
        <v>0.96098360655737802</v>
      </c>
      <c r="R59" s="615"/>
      <c r="S59" s="34">
        <v>0.7680555555555556</v>
      </c>
      <c r="T59" s="34">
        <v>0.81041666666666667</v>
      </c>
      <c r="U59" s="295">
        <f t="shared" si="38"/>
        <v>6.9999999999999751</v>
      </c>
      <c r="V59" s="306">
        <f t="shared" si="37"/>
        <v>60.999999999999943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-78.032786885243922</v>
      </c>
      <c r="AF59" s="294">
        <f t="shared" si="9"/>
        <v>0.96098360655737802</v>
      </c>
      <c r="AG59" s="615"/>
    </row>
    <row r="60" spans="1:33" ht="15.75" customHeight="1">
      <c r="A60" s="630" t="s">
        <v>1354</v>
      </c>
      <c r="B60" s="29" t="s">
        <v>15</v>
      </c>
      <c r="C60" s="622" t="s">
        <v>85</v>
      </c>
      <c r="D60" s="623"/>
      <c r="E60" s="29">
        <v>56.43</v>
      </c>
      <c r="F60" s="32">
        <v>1000</v>
      </c>
      <c r="G60" s="295">
        <f t="shared" si="35"/>
        <v>56430</v>
      </c>
      <c r="H60" s="33">
        <v>2</v>
      </c>
      <c r="I60" s="305">
        <v>13</v>
      </c>
      <c r="J60" s="31">
        <v>2000</v>
      </c>
      <c r="K60" s="12">
        <f t="shared" si="1"/>
        <v>153.84615384615384</v>
      </c>
      <c r="L60" s="305">
        <v>13</v>
      </c>
      <c r="M60" s="13">
        <f t="shared" si="39"/>
        <v>1935.483870967739</v>
      </c>
      <c r="N60" s="13">
        <f t="shared" si="3"/>
        <v>148.88337468982607</v>
      </c>
      <c r="O60" s="14">
        <f t="shared" si="4"/>
        <v>0</v>
      </c>
      <c r="P60" s="15">
        <f t="shared" si="5"/>
        <v>-4.9627791563277697</v>
      </c>
      <c r="Q60" s="294">
        <f t="shared" si="6"/>
        <v>0.96774193548386944</v>
      </c>
      <c r="R60" s="615"/>
      <c r="S60" s="34">
        <v>0.81597222222222221</v>
      </c>
      <c r="T60" s="34">
        <v>0.83750000000000002</v>
      </c>
      <c r="U60" s="295">
        <f t="shared" si="38"/>
        <v>7.9999999999999716</v>
      </c>
      <c r="V60" s="306">
        <f t="shared" si="37"/>
        <v>31.00000000000005</v>
      </c>
      <c r="W60" s="16">
        <f>T60</f>
        <v>0.83750000000000002</v>
      </c>
      <c r="X60" s="16">
        <f>S61</f>
        <v>0.87777777777777777</v>
      </c>
      <c r="Y60" s="19"/>
      <c r="Z60" s="19"/>
      <c r="AA60" s="624"/>
      <c r="AB60" s="625"/>
      <c r="AC60" s="35"/>
      <c r="AD60" s="18"/>
      <c r="AE60" s="14">
        <f t="shared" si="8"/>
        <v>-64.516129032261006</v>
      </c>
      <c r="AF60" s="294">
        <f t="shared" si="9"/>
        <v>0.96774193548386944</v>
      </c>
      <c r="AG60" s="615"/>
    </row>
    <row r="61" spans="1:33" ht="15.75" customHeight="1">
      <c r="A61" s="630" t="s">
        <v>1354</v>
      </c>
      <c r="B61" s="29" t="s">
        <v>15</v>
      </c>
      <c r="C61" s="622" t="s">
        <v>85</v>
      </c>
      <c r="D61" s="623"/>
      <c r="E61" s="29">
        <v>56.43</v>
      </c>
      <c r="F61" s="32">
        <v>1060</v>
      </c>
      <c r="G61" s="295">
        <f t="shared" si="35"/>
        <v>59815.8</v>
      </c>
      <c r="H61" s="33" t="s">
        <v>57</v>
      </c>
      <c r="I61" s="305">
        <v>13</v>
      </c>
      <c r="J61" s="31">
        <v>2000</v>
      </c>
      <c r="K61" s="12">
        <f t="shared" si="1"/>
        <v>153.84615384615384</v>
      </c>
      <c r="L61" s="305">
        <v>13</v>
      </c>
      <c r="M61" s="13">
        <f t="shared" si="39"/>
        <v>1927.272727272725</v>
      </c>
      <c r="N61" s="13">
        <f t="shared" si="3"/>
        <v>148.25174825174807</v>
      </c>
      <c r="O61" s="14">
        <f t="shared" si="4"/>
        <v>0</v>
      </c>
      <c r="P61" s="15">
        <f t="shared" si="5"/>
        <v>-5.5944055944057709</v>
      </c>
      <c r="Q61" s="294">
        <f t="shared" si="6"/>
        <v>0.96363636363636251</v>
      </c>
      <c r="R61" s="615"/>
      <c r="S61" s="34">
        <v>0.87777777777777777</v>
      </c>
      <c r="T61" s="34">
        <v>0.90069444444444446</v>
      </c>
      <c r="U61" s="295">
        <f t="shared" si="38"/>
        <v>57.999999999999957</v>
      </c>
      <c r="V61" s="306">
        <f t="shared" si="37"/>
        <v>33.000000000000043</v>
      </c>
      <c r="W61" s="16"/>
      <c r="X61" s="16"/>
      <c r="Y61" s="19"/>
      <c r="Z61" s="19"/>
      <c r="AA61" s="624"/>
      <c r="AB61" s="625"/>
      <c r="AC61" s="35"/>
      <c r="AD61" s="18"/>
      <c r="AE61" s="14">
        <f t="shared" si="8"/>
        <v>-72.727272727275022</v>
      </c>
      <c r="AF61" s="294">
        <f t="shared" si="9"/>
        <v>0.96363636363636251</v>
      </c>
      <c r="AG61" s="615"/>
    </row>
    <row r="62" spans="1:33">
      <c r="A62" s="631" t="s">
        <v>1354</v>
      </c>
      <c r="B62" s="29" t="s">
        <v>1351</v>
      </c>
      <c r="C62" s="618"/>
      <c r="D62" s="618"/>
      <c r="E62" s="297"/>
      <c r="F62" s="30"/>
      <c r="G62" s="12"/>
      <c r="H62" s="307"/>
      <c r="I62" s="23">
        <v>16.25</v>
      </c>
      <c r="J62" s="31">
        <v>2000</v>
      </c>
      <c r="K62" s="12">
        <f t="shared" si="1"/>
        <v>123.07692307692308</v>
      </c>
      <c r="L62" s="23">
        <v>16.25</v>
      </c>
      <c r="M62" s="13">
        <f>AVERAGE(M54:M61)</f>
        <v>1916.4847656951895</v>
      </c>
      <c r="N62" s="12">
        <f t="shared" si="3"/>
        <v>117.93752404278089</v>
      </c>
      <c r="O62" s="14">
        <f t="shared" si="4"/>
        <v>0</v>
      </c>
      <c r="P62" s="15">
        <f t="shared" si="5"/>
        <v>-5.1393990341421869</v>
      </c>
      <c r="Q62" s="294">
        <f t="shared" si="6"/>
        <v>0.95824238284759478</v>
      </c>
      <c r="R62" s="615"/>
      <c r="S62" s="34"/>
      <c r="T62" s="34"/>
      <c r="U62" s="295"/>
      <c r="V62" s="306"/>
      <c r="W62" s="12"/>
      <c r="X62" s="12"/>
      <c r="Y62" s="24">
        <f>SUM(Y54:Y61)</f>
        <v>0</v>
      </c>
      <c r="Z62" s="24">
        <f>SUM(Z54:Z61)</f>
        <v>0</v>
      </c>
      <c r="AA62" s="614"/>
      <c r="AB62" s="614"/>
      <c r="AC62" s="24">
        <v>8</v>
      </c>
      <c r="AD62" s="24">
        <f>SUM(AD54:AD61)</f>
        <v>0</v>
      </c>
      <c r="AE62" s="14">
        <f>M62-J62</f>
        <v>-83.515234304810519</v>
      </c>
      <c r="AF62" s="294">
        <f t="shared" si="9"/>
        <v>0.95824238284759478</v>
      </c>
      <c r="AG62" s="615"/>
    </row>
    <row r="63" spans="1:33" ht="15.75" customHeight="1">
      <c r="A63" s="626" t="s">
        <v>1355</v>
      </c>
      <c r="B63" s="307" t="s">
        <v>40</v>
      </c>
      <c r="C63" s="616" t="s">
        <v>49</v>
      </c>
      <c r="D63" s="616"/>
      <c r="E63" s="29">
        <v>34.36</v>
      </c>
      <c r="F63" s="32">
        <v>2565</v>
      </c>
      <c r="G63" s="295">
        <f t="shared" ref="G63:G67" si="40">E63*F63</f>
        <v>88133.4</v>
      </c>
      <c r="H63" s="33" t="s">
        <v>57</v>
      </c>
      <c r="I63" s="305">
        <v>10</v>
      </c>
      <c r="J63" s="31">
        <v>3000</v>
      </c>
      <c r="K63" s="12">
        <f t="shared" si="1"/>
        <v>300</v>
      </c>
      <c r="L63" s="305">
        <v>10</v>
      </c>
      <c r="M63" s="13">
        <f t="shared" ref="M63:M67" si="41">F63/V63*60</f>
        <v>2903.7735849056594</v>
      </c>
      <c r="N63" s="12">
        <f t="shared" si="3"/>
        <v>290.37735849056594</v>
      </c>
      <c r="O63" s="14">
        <f t="shared" si="4"/>
        <v>0</v>
      </c>
      <c r="P63" s="15">
        <f t="shared" si="5"/>
        <v>-9.6226415094340609</v>
      </c>
      <c r="Q63" s="294">
        <f t="shared" si="6"/>
        <v>0.96792452830188647</v>
      </c>
      <c r="R63" s="615">
        <f>Q68</f>
        <v>0.9683013827876672</v>
      </c>
      <c r="S63" s="34">
        <v>0.20833333333333334</v>
      </c>
      <c r="T63" s="34">
        <v>0.24513888888888891</v>
      </c>
      <c r="U63" s="295"/>
      <c r="V63" s="306">
        <f t="shared" ref="V63:V67" si="42">(T63-S63)*24*60</f>
        <v>53.000000000000014</v>
      </c>
      <c r="W63" s="16"/>
      <c r="X63" s="16"/>
      <c r="Y63" s="21"/>
      <c r="Z63" s="21"/>
      <c r="AA63" s="617"/>
      <c r="AB63" s="617"/>
      <c r="AC63" s="35">
        <v>5</v>
      </c>
      <c r="AD63" s="18"/>
      <c r="AE63" s="14">
        <f t="shared" ref="AE63:AE78" si="43">M63-J63</f>
        <v>-96.226415094340609</v>
      </c>
      <c r="AF63" s="294">
        <f t="shared" si="9"/>
        <v>0.96792452830188647</v>
      </c>
      <c r="AG63" s="615">
        <f>AF68</f>
        <v>0.9683013827876672</v>
      </c>
    </row>
    <row r="64" spans="1:33" ht="15.75" customHeight="1">
      <c r="A64" s="626" t="s">
        <v>570</v>
      </c>
      <c r="B64" s="307" t="s">
        <v>40</v>
      </c>
      <c r="C64" s="616" t="s">
        <v>50</v>
      </c>
      <c r="D64" s="616"/>
      <c r="E64" s="29">
        <v>34.36</v>
      </c>
      <c r="F64" s="32">
        <v>1185</v>
      </c>
      <c r="G64" s="295">
        <f t="shared" si="40"/>
        <v>40716.6</v>
      </c>
      <c r="H64" s="33" t="s">
        <v>57</v>
      </c>
      <c r="I64" s="305">
        <v>10</v>
      </c>
      <c r="J64" s="31">
        <v>3000</v>
      </c>
      <c r="K64" s="12">
        <f t="shared" si="1"/>
        <v>300</v>
      </c>
      <c r="L64" s="305">
        <v>10</v>
      </c>
      <c r="M64" s="13">
        <f t="shared" si="41"/>
        <v>2962.5000000000009</v>
      </c>
      <c r="N64" s="12">
        <f t="shared" si="3"/>
        <v>296.25000000000011</v>
      </c>
      <c r="O64" s="14">
        <f t="shared" si="4"/>
        <v>0</v>
      </c>
      <c r="P64" s="15">
        <f t="shared" si="5"/>
        <v>-3.7499999999998863</v>
      </c>
      <c r="Q64" s="294">
        <f t="shared" si="6"/>
        <v>0.98750000000000038</v>
      </c>
      <c r="R64" s="615"/>
      <c r="S64" s="34">
        <v>0.24861111111111112</v>
      </c>
      <c r="T64" s="34">
        <v>0.26527777777777778</v>
      </c>
      <c r="U64" s="295">
        <f t="shared" ref="U64:U67" si="44">(S64-T63)*24*60</f>
        <v>4.9999999999999822</v>
      </c>
      <c r="V64" s="306">
        <f t="shared" si="42"/>
        <v>23.999999999999993</v>
      </c>
      <c r="W64" s="295"/>
      <c r="X64" s="295"/>
      <c r="Y64" s="295"/>
      <c r="Z64" s="295"/>
      <c r="AA64" s="617"/>
      <c r="AB64" s="617"/>
      <c r="AC64" s="35"/>
      <c r="AD64" s="18"/>
      <c r="AE64" s="14">
        <f t="shared" si="43"/>
        <v>-37.499999999999091</v>
      </c>
      <c r="AF64" s="294">
        <f t="shared" si="9"/>
        <v>0.98750000000000027</v>
      </c>
      <c r="AG64" s="615"/>
    </row>
    <row r="65" spans="1:33" ht="15.75" customHeight="1">
      <c r="A65" s="626" t="s">
        <v>1355</v>
      </c>
      <c r="B65" s="307" t="s">
        <v>40</v>
      </c>
      <c r="C65" s="616" t="s">
        <v>51</v>
      </c>
      <c r="D65" s="616"/>
      <c r="E65" s="29">
        <v>26.78</v>
      </c>
      <c r="F65" s="32">
        <v>2788</v>
      </c>
      <c r="G65" s="295">
        <f t="shared" si="40"/>
        <v>74662.64</v>
      </c>
      <c r="H65" s="33" t="s">
        <v>57</v>
      </c>
      <c r="I65" s="305">
        <v>10</v>
      </c>
      <c r="J65" s="31">
        <v>3000</v>
      </c>
      <c r="K65" s="12">
        <f t="shared" si="1"/>
        <v>300</v>
      </c>
      <c r="L65" s="305">
        <v>10</v>
      </c>
      <c r="M65" s="13">
        <f t="shared" si="41"/>
        <v>2884.137931034481</v>
      </c>
      <c r="N65" s="12">
        <f t="shared" si="3"/>
        <v>288.41379310344809</v>
      </c>
      <c r="O65" s="14">
        <f t="shared" si="4"/>
        <v>0</v>
      </c>
      <c r="P65" s="15">
        <f t="shared" si="5"/>
        <v>-11.586206896551914</v>
      </c>
      <c r="Q65" s="294">
        <f t="shared" si="6"/>
        <v>0.96137931034482693</v>
      </c>
      <c r="R65" s="615"/>
      <c r="S65" s="34">
        <v>0.26874999999999999</v>
      </c>
      <c r="T65" s="34">
        <v>0.30902777777777779</v>
      </c>
      <c r="U65" s="295">
        <f t="shared" si="44"/>
        <v>4.9999999999999822</v>
      </c>
      <c r="V65" s="306">
        <f t="shared" si="42"/>
        <v>58.000000000000036</v>
      </c>
      <c r="W65" s="295"/>
      <c r="X65" s="295"/>
      <c r="Y65" s="295"/>
      <c r="Z65" s="295"/>
      <c r="AA65" s="617"/>
      <c r="AB65" s="617"/>
      <c r="AC65" s="35"/>
      <c r="AD65" s="18"/>
      <c r="AE65" s="14">
        <f t="shared" si="43"/>
        <v>-115.86206896551903</v>
      </c>
      <c r="AF65" s="294">
        <f t="shared" si="9"/>
        <v>0.96137931034482704</v>
      </c>
      <c r="AG65" s="615"/>
    </row>
    <row r="66" spans="1:33" ht="15.75" customHeight="1">
      <c r="A66" s="626" t="s">
        <v>570</v>
      </c>
      <c r="B66" s="307" t="s">
        <v>40</v>
      </c>
      <c r="C66" s="616" t="s">
        <v>52</v>
      </c>
      <c r="D66" s="616"/>
      <c r="E66" s="29">
        <v>35.869999999999997</v>
      </c>
      <c r="F66" s="32">
        <v>4395</v>
      </c>
      <c r="G66" s="295">
        <f t="shared" si="40"/>
        <v>157648.65</v>
      </c>
      <c r="H66" s="33" t="s">
        <v>57</v>
      </c>
      <c r="I66" s="305">
        <v>9</v>
      </c>
      <c r="J66" s="31">
        <v>3000</v>
      </c>
      <c r="K66" s="12">
        <f t="shared" si="1"/>
        <v>333.33333333333331</v>
      </c>
      <c r="L66" s="305">
        <v>9</v>
      </c>
      <c r="M66" s="13">
        <f t="shared" si="41"/>
        <v>2866.304347826087</v>
      </c>
      <c r="N66" s="12">
        <f t="shared" si="3"/>
        <v>318.47826086956525</v>
      </c>
      <c r="O66" s="14">
        <f t="shared" si="4"/>
        <v>0</v>
      </c>
      <c r="P66" s="15">
        <f t="shared" si="5"/>
        <v>-14.855072463768067</v>
      </c>
      <c r="Q66" s="294">
        <f t="shared" si="6"/>
        <v>0.95543478260869574</v>
      </c>
      <c r="R66" s="615"/>
      <c r="S66" s="34">
        <v>0.31388888888888888</v>
      </c>
      <c r="T66" s="34">
        <v>0.37777777777777777</v>
      </c>
      <c r="U66" s="295">
        <f t="shared" si="44"/>
        <v>6.9999999999999751</v>
      </c>
      <c r="V66" s="306">
        <f t="shared" si="42"/>
        <v>92</v>
      </c>
      <c r="W66" s="295"/>
      <c r="X66" s="295"/>
      <c r="Y66" s="295"/>
      <c r="Z66" s="295"/>
      <c r="AA66" s="617"/>
      <c r="AB66" s="617"/>
      <c r="AC66" s="35"/>
      <c r="AD66" s="18"/>
      <c r="AE66" s="14">
        <f t="shared" si="43"/>
        <v>-133.695652173913</v>
      </c>
      <c r="AF66" s="294">
        <f t="shared" si="9"/>
        <v>0.95543478260869563</v>
      </c>
      <c r="AG66" s="615"/>
    </row>
    <row r="67" spans="1:33">
      <c r="A67" s="627" t="s">
        <v>570</v>
      </c>
      <c r="B67" s="307" t="s">
        <v>40</v>
      </c>
      <c r="C67" s="616" t="s">
        <v>53</v>
      </c>
      <c r="D67" s="616"/>
      <c r="E67" s="29">
        <v>34.35</v>
      </c>
      <c r="F67" s="32">
        <v>1987</v>
      </c>
      <c r="G67" s="295">
        <f t="shared" si="40"/>
        <v>68253.45</v>
      </c>
      <c r="H67" s="33" t="s">
        <v>57</v>
      </c>
      <c r="I67" s="305">
        <v>8</v>
      </c>
      <c r="J67" s="31">
        <v>3000</v>
      </c>
      <c r="K67" s="12">
        <f t="shared" si="1"/>
        <v>375</v>
      </c>
      <c r="L67" s="305">
        <v>8</v>
      </c>
      <c r="M67" s="13">
        <f t="shared" si="41"/>
        <v>2907.8048780487793</v>
      </c>
      <c r="N67" s="12">
        <f t="shared" si="3"/>
        <v>363.47560975609741</v>
      </c>
      <c r="O67" s="14">
        <f t="shared" si="4"/>
        <v>0</v>
      </c>
      <c r="P67" s="15">
        <f t="shared" si="5"/>
        <v>-11.524390243902587</v>
      </c>
      <c r="Q67" s="294">
        <f t="shared" si="6"/>
        <v>0.96926829268292647</v>
      </c>
      <c r="R67" s="615"/>
      <c r="S67" s="34">
        <v>0.38194444444444442</v>
      </c>
      <c r="T67" s="34">
        <v>0.41041666666666665</v>
      </c>
      <c r="U67" s="295">
        <f t="shared" si="44"/>
        <v>5.9999999999999787</v>
      </c>
      <c r="V67" s="306">
        <f t="shared" si="42"/>
        <v>41.000000000000014</v>
      </c>
      <c r="W67" s="16"/>
      <c r="X67" s="16"/>
      <c r="Y67" s="16"/>
      <c r="Z67" s="16"/>
      <c r="AA67" s="617"/>
      <c r="AB67" s="617"/>
      <c r="AC67" s="35"/>
      <c r="AD67" s="18"/>
      <c r="AE67" s="14">
        <f t="shared" si="43"/>
        <v>-92.195121951220699</v>
      </c>
      <c r="AF67" s="294">
        <f t="shared" si="9"/>
        <v>0.96926829268292647</v>
      </c>
      <c r="AG67" s="615"/>
    </row>
    <row r="68" spans="1:33">
      <c r="A68" s="627" t="s">
        <v>1355</v>
      </c>
      <c r="B68" s="29" t="s">
        <v>1351</v>
      </c>
      <c r="C68" s="618"/>
      <c r="D68" s="618"/>
      <c r="E68" s="297"/>
      <c r="F68" s="30"/>
      <c r="G68" s="12"/>
      <c r="H68" s="307"/>
      <c r="I68" s="23">
        <v>9.4</v>
      </c>
      <c r="J68" s="31">
        <v>3000</v>
      </c>
      <c r="K68" s="12">
        <f t="shared" si="1"/>
        <v>319.14893617021278</v>
      </c>
      <c r="L68" s="23">
        <v>9.4</v>
      </c>
      <c r="M68" s="13">
        <f>AVERAGE(M63:M67)</f>
        <v>2904.9041483630017</v>
      </c>
      <c r="N68" s="12">
        <f t="shared" si="3"/>
        <v>309.03235620882998</v>
      </c>
      <c r="O68" s="14">
        <f t="shared" si="4"/>
        <v>0</v>
      </c>
      <c r="P68" s="15">
        <f t="shared" si="5"/>
        <v>-10.116579961382797</v>
      </c>
      <c r="Q68" s="294">
        <f t="shared" si="6"/>
        <v>0.9683013827876672</v>
      </c>
      <c r="R68" s="615"/>
      <c r="S68" s="34"/>
      <c r="T68" s="34"/>
      <c r="U68" s="12"/>
      <c r="V68" s="306"/>
      <c r="W68" s="12"/>
      <c r="X68" s="12"/>
      <c r="Y68" s="24">
        <f>SUM(Y63:Y67)</f>
        <v>0</v>
      </c>
      <c r="Z68" s="24">
        <f>SUM(Z63:Z67)</f>
        <v>0</v>
      </c>
      <c r="AA68" s="614"/>
      <c r="AB68" s="614"/>
      <c r="AC68" s="24">
        <v>5</v>
      </c>
      <c r="AD68" s="24">
        <f>SUM(AD63:AD67)</f>
        <v>0</v>
      </c>
      <c r="AE68" s="14">
        <f t="shared" si="43"/>
        <v>-95.095851636998304</v>
      </c>
      <c r="AF68" s="294">
        <f t="shared" si="9"/>
        <v>0.9683013827876672</v>
      </c>
      <c r="AG68" s="615"/>
    </row>
    <row r="69" spans="1:33" ht="15.75" customHeight="1">
      <c r="A69" s="619" t="s">
        <v>14</v>
      </c>
      <c r="B69" s="307" t="s">
        <v>32</v>
      </c>
      <c r="C69" s="616" t="s">
        <v>56</v>
      </c>
      <c r="D69" s="616"/>
      <c r="E69" s="29">
        <v>19.02</v>
      </c>
      <c r="F69" s="307">
        <v>6600</v>
      </c>
      <c r="G69" s="295">
        <f t="shared" ref="G69:G77" si="45">E69*F69</f>
        <v>125532</v>
      </c>
      <c r="H69" s="33">
        <v>2</v>
      </c>
      <c r="I69" s="305">
        <v>14</v>
      </c>
      <c r="J69" s="31">
        <v>2400</v>
      </c>
      <c r="K69" s="12">
        <f t="shared" ref="K69:K78" si="46">J69/I69</f>
        <v>171.42857142857142</v>
      </c>
      <c r="L69" s="305">
        <v>14</v>
      </c>
      <c r="M69" s="13">
        <f t="shared" ref="M69:M77" si="47">F69/V69*60</f>
        <v>2289.0173410404623</v>
      </c>
      <c r="N69" s="12">
        <f t="shared" ref="N69:N78" si="48">M69/L69</f>
        <v>163.50123864574729</v>
      </c>
      <c r="O69" s="14">
        <f t="shared" ref="O69:O78" si="49">L69-I69</f>
        <v>0</v>
      </c>
      <c r="P69" s="15">
        <f t="shared" ref="P69:P78" si="50">N69-K69</f>
        <v>-7.9273327828241236</v>
      </c>
      <c r="Q69" s="294">
        <f t="shared" ref="Q69:Q78" si="51">N69/K69</f>
        <v>0.95375722543352592</v>
      </c>
      <c r="R69" s="615">
        <f>Q78</f>
        <v>0.95747903239799148</v>
      </c>
      <c r="S69" s="34">
        <v>8.3333333333333329E-2</v>
      </c>
      <c r="T69" s="34">
        <v>0.20347222222222222</v>
      </c>
      <c r="U69" s="21"/>
      <c r="V69" s="306">
        <f t="shared" ref="V69:V77" si="52">(T69-S69)*24*60</f>
        <v>173</v>
      </c>
      <c r="W69" s="16">
        <f>T69</f>
        <v>0.20347222222222222</v>
      </c>
      <c r="X69" s="16">
        <f>S70</f>
        <v>0.22222222222222221</v>
      </c>
      <c r="Y69" s="16"/>
      <c r="Z69" s="16"/>
      <c r="AA69" s="617"/>
      <c r="AB69" s="617"/>
      <c r="AC69" s="35">
        <v>9</v>
      </c>
      <c r="AD69" s="18"/>
      <c r="AE69" s="14">
        <f t="shared" si="43"/>
        <v>-110.98265895953773</v>
      </c>
      <c r="AF69" s="294">
        <f t="shared" ref="AF69:AF78" si="53">M69/J69</f>
        <v>0.95375722543352592</v>
      </c>
      <c r="AG69" s="615">
        <f>AF78</f>
        <v>0.95747903239799148</v>
      </c>
    </row>
    <row r="70" spans="1:33" ht="15.75" customHeight="1">
      <c r="A70" s="620" t="s">
        <v>1356</v>
      </c>
      <c r="B70" s="307" t="s">
        <v>32</v>
      </c>
      <c r="C70" s="616" t="s">
        <v>36</v>
      </c>
      <c r="D70" s="616"/>
      <c r="E70" s="29">
        <v>20.36</v>
      </c>
      <c r="F70" s="307">
        <v>3000</v>
      </c>
      <c r="G70" s="295">
        <f t="shared" si="45"/>
        <v>61080</v>
      </c>
      <c r="H70" s="33">
        <v>2</v>
      </c>
      <c r="I70" s="305">
        <v>17</v>
      </c>
      <c r="J70" s="31">
        <v>2400</v>
      </c>
      <c r="K70" s="12">
        <f t="shared" si="46"/>
        <v>141.1764705882353</v>
      </c>
      <c r="L70" s="305">
        <v>17</v>
      </c>
      <c r="M70" s="13">
        <f t="shared" si="47"/>
        <v>2307.6923076923063</v>
      </c>
      <c r="N70" s="12">
        <f t="shared" si="48"/>
        <v>135.74660633484154</v>
      </c>
      <c r="O70" s="14">
        <f t="shared" si="49"/>
        <v>0</v>
      </c>
      <c r="P70" s="15">
        <f t="shared" si="50"/>
        <v>-5.4298642533937596</v>
      </c>
      <c r="Q70" s="294">
        <f t="shared" si="51"/>
        <v>0.9615384615384609</v>
      </c>
      <c r="R70" s="615"/>
      <c r="S70" s="34">
        <v>0.22222222222222221</v>
      </c>
      <c r="T70" s="34">
        <v>0.27638888888888891</v>
      </c>
      <c r="U70" s="295">
        <f t="shared" ref="U70:U77" si="54">(S70-T69)*24*60</f>
        <v>26.999999999999986</v>
      </c>
      <c r="V70" s="306">
        <f t="shared" si="52"/>
        <v>78.000000000000043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-92.307692307693742</v>
      </c>
      <c r="AF70" s="294">
        <f t="shared" si="53"/>
        <v>0.9615384615384609</v>
      </c>
      <c r="AG70" s="615"/>
    </row>
    <row r="71" spans="1:33" ht="15.75" customHeight="1">
      <c r="A71" s="620" t="s">
        <v>14</v>
      </c>
      <c r="B71" s="307" t="s">
        <v>32</v>
      </c>
      <c r="C71" s="616" t="s">
        <v>949</v>
      </c>
      <c r="D71" s="616"/>
      <c r="E71" s="29">
        <v>25.98</v>
      </c>
      <c r="F71" s="307">
        <v>4700</v>
      </c>
      <c r="G71" s="295">
        <f t="shared" si="45"/>
        <v>122106</v>
      </c>
      <c r="H71" s="33">
        <v>2</v>
      </c>
      <c r="I71" s="305">
        <v>17</v>
      </c>
      <c r="J71" s="31">
        <v>2400</v>
      </c>
      <c r="K71" s="12">
        <f t="shared" si="46"/>
        <v>141.1764705882353</v>
      </c>
      <c r="L71" s="305">
        <v>17</v>
      </c>
      <c r="M71" s="13">
        <f t="shared" si="47"/>
        <v>2292.682926829269</v>
      </c>
      <c r="N71" s="12">
        <f t="shared" si="48"/>
        <v>134.86370157819229</v>
      </c>
      <c r="O71" s="14">
        <f t="shared" si="49"/>
        <v>0</v>
      </c>
      <c r="P71" s="15">
        <f t="shared" si="50"/>
        <v>-6.3127690100430129</v>
      </c>
      <c r="Q71" s="294">
        <f t="shared" si="51"/>
        <v>0.95528455284552871</v>
      </c>
      <c r="R71" s="615"/>
      <c r="S71" s="34">
        <v>0.28055555555555556</v>
      </c>
      <c r="T71" s="34">
        <v>0.3659722222222222</v>
      </c>
      <c r="U71" s="295">
        <f t="shared" si="54"/>
        <v>5.9999999999999787</v>
      </c>
      <c r="V71" s="306">
        <f t="shared" si="52"/>
        <v>122.99999999999996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-107.31707317073096</v>
      </c>
      <c r="AF71" s="294">
        <f t="shared" si="53"/>
        <v>0.95528455284552871</v>
      </c>
      <c r="AG71" s="615"/>
    </row>
    <row r="72" spans="1:33" ht="15.75" customHeight="1">
      <c r="A72" s="620" t="s">
        <v>14</v>
      </c>
      <c r="B72" s="307" t="s">
        <v>32</v>
      </c>
      <c r="C72" s="616" t="s">
        <v>54</v>
      </c>
      <c r="D72" s="616"/>
      <c r="E72" s="29">
        <v>20.21</v>
      </c>
      <c r="F72" s="307">
        <v>3652</v>
      </c>
      <c r="G72" s="295">
        <f t="shared" si="45"/>
        <v>73806.92</v>
      </c>
      <c r="H72" s="33" t="s">
        <v>57</v>
      </c>
      <c r="I72" s="305">
        <v>15</v>
      </c>
      <c r="J72" s="31">
        <v>2400</v>
      </c>
      <c r="K72" s="12">
        <f t="shared" si="46"/>
        <v>160</v>
      </c>
      <c r="L72" s="305">
        <v>15</v>
      </c>
      <c r="M72" s="13">
        <f t="shared" si="47"/>
        <v>2306.5263157894738</v>
      </c>
      <c r="N72" s="12">
        <f t="shared" si="48"/>
        <v>153.7684210526316</v>
      </c>
      <c r="O72" s="14">
        <f t="shared" si="49"/>
        <v>0</v>
      </c>
      <c r="P72" s="15">
        <f t="shared" si="50"/>
        <v>-6.2315789473684049</v>
      </c>
      <c r="Q72" s="294">
        <f t="shared" si="51"/>
        <v>0.96105263157894749</v>
      </c>
      <c r="R72" s="615"/>
      <c r="S72" s="34">
        <v>0.36944444444444441</v>
      </c>
      <c r="T72" s="34">
        <v>0.43541666666666662</v>
      </c>
      <c r="U72" s="295">
        <f t="shared" si="54"/>
        <v>4.9999999999999822</v>
      </c>
      <c r="V72" s="306">
        <f t="shared" si="52"/>
        <v>94.999999999999986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-93.473684210526244</v>
      </c>
      <c r="AF72" s="294">
        <f t="shared" si="53"/>
        <v>0.96105263157894738</v>
      </c>
      <c r="AG72" s="615"/>
    </row>
    <row r="73" spans="1:33" ht="15.75" customHeight="1">
      <c r="A73" s="620" t="s">
        <v>1356</v>
      </c>
      <c r="B73" s="307" t="s">
        <v>32</v>
      </c>
      <c r="C73" s="616" t="s">
        <v>55</v>
      </c>
      <c r="D73" s="616"/>
      <c r="E73" s="29">
        <v>22.69</v>
      </c>
      <c r="F73" s="307">
        <v>3952</v>
      </c>
      <c r="G73" s="295">
        <f t="shared" si="45"/>
        <v>89670.88</v>
      </c>
      <c r="H73" s="33" t="s">
        <v>57</v>
      </c>
      <c r="I73" s="305">
        <v>15</v>
      </c>
      <c r="J73" s="31">
        <v>2400</v>
      </c>
      <c r="K73" s="12">
        <f t="shared" si="46"/>
        <v>160</v>
      </c>
      <c r="L73" s="305">
        <v>15</v>
      </c>
      <c r="M73" s="13">
        <f t="shared" si="47"/>
        <v>2302.1359223300965</v>
      </c>
      <c r="N73" s="12">
        <f t="shared" si="48"/>
        <v>153.47572815533977</v>
      </c>
      <c r="O73" s="14">
        <f t="shared" si="49"/>
        <v>0</v>
      </c>
      <c r="P73" s="15">
        <f t="shared" si="50"/>
        <v>-6.5242718446602339</v>
      </c>
      <c r="Q73" s="294">
        <f t="shared" si="51"/>
        <v>0.95922330097087349</v>
      </c>
      <c r="R73" s="615"/>
      <c r="S73" s="34">
        <v>0.44027777777777771</v>
      </c>
      <c r="T73" s="34">
        <v>0.51180555555555551</v>
      </c>
      <c r="U73" s="295">
        <f t="shared" si="54"/>
        <v>6.9999999999999751</v>
      </c>
      <c r="V73" s="306">
        <f t="shared" si="52"/>
        <v>103.00000000000003</v>
      </c>
      <c r="W73" s="16">
        <f>T73</f>
        <v>0.51180555555555551</v>
      </c>
      <c r="X73" s="16">
        <f>S74</f>
        <v>0.5527777777777777</v>
      </c>
      <c r="Y73" s="16"/>
      <c r="Z73" s="16"/>
      <c r="AA73" s="617"/>
      <c r="AB73" s="617"/>
      <c r="AC73" s="35"/>
      <c r="AD73" s="18"/>
      <c r="AE73" s="14">
        <f t="shared" si="43"/>
        <v>-97.864077669903509</v>
      </c>
      <c r="AF73" s="294">
        <f t="shared" si="53"/>
        <v>0.95922330097087349</v>
      </c>
      <c r="AG73" s="615"/>
    </row>
    <row r="74" spans="1:33" ht="15.75" customHeight="1">
      <c r="A74" s="620" t="s">
        <v>14</v>
      </c>
      <c r="B74" s="307" t="s">
        <v>32</v>
      </c>
      <c r="C74" s="616" t="s">
        <v>36</v>
      </c>
      <c r="D74" s="616"/>
      <c r="E74" s="29">
        <v>20.36</v>
      </c>
      <c r="F74" s="307">
        <v>2373</v>
      </c>
      <c r="G74" s="295">
        <f t="shared" si="45"/>
        <v>48314.28</v>
      </c>
      <c r="H74" s="33" t="s">
        <v>57</v>
      </c>
      <c r="I74" s="305">
        <v>17</v>
      </c>
      <c r="J74" s="31">
        <v>2400</v>
      </c>
      <c r="K74" s="12">
        <f t="shared" si="46"/>
        <v>141.1764705882353</v>
      </c>
      <c r="L74" s="305">
        <v>17</v>
      </c>
      <c r="M74" s="13">
        <f t="shared" si="47"/>
        <v>2296.4516129032281</v>
      </c>
      <c r="N74" s="12">
        <f t="shared" si="48"/>
        <v>135.08538899430755</v>
      </c>
      <c r="O74" s="14">
        <f t="shared" si="49"/>
        <v>0</v>
      </c>
      <c r="P74" s="15">
        <f t="shared" si="50"/>
        <v>-6.0910815939277541</v>
      </c>
      <c r="Q74" s="294">
        <f t="shared" si="51"/>
        <v>0.95685483870967836</v>
      </c>
      <c r="R74" s="615"/>
      <c r="S74" s="34">
        <v>0.5527777777777777</v>
      </c>
      <c r="T74" s="34">
        <v>0.59583333333333321</v>
      </c>
      <c r="U74" s="295">
        <f t="shared" si="54"/>
        <v>58.99999999999995</v>
      </c>
      <c r="V74" s="306">
        <f t="shared" si="52"/>
        <v>61.999999999999943</v>
      </c>
      <c r="W74" s="16"/>
      <c r="X74" s="16"/>
      <c r="Y74" s="16"/>
      <c r="Z74" s="16"/>
      <c r="AA74" s="617"/>
      <c r="AB74" s="617"/>
      <c r="AC74" s="35"/>
      <c r="AD74" s="18"/>
      <c r="AE74" s="14">
        <f t="shared" si="43"/>
        <v>-103.54838709677188</v>
      </c>
      <c r="AF74" s="294">
        <f t="shared" si="53"/>
        <v>0.95685483870967836</v>
      </c>
      <c r="AG74" s="615"/>
    </row>
    <row r="75" spans="1:33" ht="15.75" customHeight="1">
      <c r="A75" s="620" t="s">
        <v>1356</v>
      </c>
      <c r="B75" s="307" t="s">
        <v>32</v>
      </c>
      <c r="C75" s="622" t="s">
        <v>949</v>
      </c>
      <c r="D75" s="623"/>
      <c r="E75" s="29">
        <v>25.98</v>
      </c>
      <c r="F75" s="307">
        <v>3566</v>
      </c>
      <c r="G75" s="295">
        <f t="shared" si="45"/>
        <v>92644.680000000008</v>
      </c>
      <c r="H75" s="33" t="s">
        <v>57</v>
      </c>
      <c r="I75" s="305">
        <v>17</v>
      </c>
      <c r="J75" s="31">
        <v>2400</v>
      </c>
      <c r="K75" s="12">
        <f t="shared" si="46"/>
        <v>141.1764705882353</v>
      </c>
      <c r="L75" s="305">
        <v>17</v>
      </c>
      <c r="M75" s="13">
        <f t="shared" si="47"/>
        <v>2300.6451612903229</v>
      </c>
      <c r="N75" s="12">
        <f t="shared" si="48"/>
        <v>135.33206831119546</v>
      </c>
      <c r="O75" s="14">
        <f t="shared" si="49"/>
        <v>0</v>
      </c>
      <c r="P75" s="15">
        <f t="shared" si="50"/>
        <v>-5.8444022770398476</v>
      </c>
      <c r="Q75" s="294">
        <f t="shared" si="51"/>
        <v>0.95860215053763442</v>
      </c>
      <c r="R75" s="615"/>
      <c r="S75" s="34">
        <v>0.59930555555555542</v>
      </c>
      <c r="T75" s="34">
        <v>0.66388888888888875</v>
      </c>
      <c r="U75" s="295">
        <f t="shared" si="54"/>
        <v>4.9999999999999822</v>
      </c>
      <c r="V75" s="306">
        <f t="shared" si="52"/>
        <v>92.999999999999986</v>
      </c>
      <c r="W75" s="16"/>
      <c r="X75" s="16"/>
      <c r="Y75" s="19"/>
      <c r="Z75" s="19"/>
      <c r="AA75" s="624"/>
      <c r="AB75" s="625"/>
      <c r="AC75" s="35"/>
      <c r="AD75" s="18"/>
      <c r="AE75" s="14">
        <f t="shared" si="43"/>
        <v>-99.354838709677097</v>
      </c>
      <c r="AF75" s="294">
        <f t="shared" si="53"/>
        <v>0.95860215053763453</v>
      </c>
      <c r="AG75" s="615"/>
    </row>
    <row r="76" spans="1:33" ht="15.75" customHeight="1">
      <c r="A76" s="620" t="s">
        <v>1357</v>
      </c>
      <c r="B76" s="307" t="s">
        <v>32</v>
      </c>
      <c r="C76" s="622" t="s">
        <v>56</v>
      </c>
      <c r="D76" s="623"/>
      <c r="E76" s="29">
        <v>19.02</v>
      </c>
      <c r="F76" s="307">
        <v>5278</v>
      </c>
      <c r="G76" s="295">
        <f t="shared" si="45"/>
        <v>100387.56</v>
      </c>
      <c r="H76" s="33" t="s">
        <v>57</v>
      </c>
      <c r="I76" s="305">
        <v>14</v>
      </c>
      <c r="J76" s="31">
        <v>2400</v>
      </c>
      <c r="K76" s="12">
        <f t="shared" si="46"/>
        <v>171.42857142857142</v>
      </c>
      <c r="L76" s="305">
        <v>14</v>
      </c>
      <c r="M76" s="13">
        <f t="shared" si="47"/>
        <v>2294.782608695652</v>
      </c>
      <c r="N76" s="12">
        <f t="shared" si="48"/>
        <v>163.91304347826085</v>
      </c>
      <c r="O76" s="14">
        <f t="shared" si="49"/>
        <v>0</v>
      </c>
      <c r="P76" s="15">
        <f t="shared" si="50"/>
        <v>-7.5155279503105703</v>
      </c>
      <c r="Q76" s="294">
        <f t="shared" si="51"/>
        <v>0.95615942028985501</v>
      </c>
      <c r="R76" s="615"/>
      <c r="S76" s="34">
        <v>0.6680555555555554</v>
      </c>
      <c r="T76" s="34">
        <v>0.76388888888888873</v>
      </c>
      <c r="U76" s="295">
        <f t="shared" si="54"/>
        <v>5.9999999999999787</v>
      </c>
      <c r="V76" s="306">
        <f t="shared" si="52"/>
        <v>138</v>
      </c>
      <c r="W76" s="16"/>
      <c r="X76" s="16"/>
      <c r="Y76" s="19"/>
      <c r="Z76" s="19"/>
      <c r="AA76" s="624"/>
      <c r="AB76" s="625"/>
      <c r="AC76" s="35"/>
      <c r="AD76" s="18"/>
      <c r="AE76" s="14">
        <f t="shared" si="43"/>
        <v>-105.21739130434798</v>
      </c>
      <c r="AF76" s="294">
        <f t="shared" si="53"/>
        <v>0.95615942028985501</v>
      </c>
      <c r="AG76" s="615"/>
    </row>
    <row r="77" spans="1:33" ht="15.75" customHeight="1">
      <c r="A77" s="620" t="s">
        <v>14</v>
      </c>
      <c r="B77" s="307" t="s">
        <v>32</v>
      </c>
      <c r="C77" s="622" t="s">
        <v>79</v>
      </c>
      <c r="D77" s="623"/>
      <c r="E77" s="29">
        <v>25.99</v>
      </c>
      <c r="F77" s="307">
        <v>1184</v>
      </c>
      <c r="G77" s="295">
        <f t="shared" si="45"/>
        <v>30772.16</v>
      </c>
      <c r="H77" s="33" t="s">
        <v>57</v>
      </c>
      <c r="I77" s="305">
        <v>18</v>
      </c>
      <c r="J77" s="31">
        <v>2400</v>
      </c>
      <c r="K77" s="12">
        <f t="shared" si="46"/>
        <v>133.33333333333334</v>
      </c>
      <c r="L77" s="305">
        <v>18</v>
      </c>
      <c r="M77" s="13">
        <f t="shared" si="47"/>
        <v>2291.6129032258027</v>
      </c>
      <c r="N77" s="12">
        <f t="shared" si="48"/>
        <v>127.31182795698903</v>
      </c>
      <c r="O77" s="14">
        <f t="shared" si="49"/>
        <v>0</v>
      </c>
      <c r="P77" s="15">
        <f t="shared" si="50"/>
        <v>-6.021505376344308</v>
      </c>
      <c r="Q77" s="294">
        <f t="shared" si="51"/>
        <v>0.95483870967741769</v>
      </c>
      <c r="R77" s="615"/>
      <c r="S77" s="34">
        <v>0.76874999999999982</v>
      </c>
      <c r="T77" s="34">
        <v>0.79027777777777763</v>
      </c>
      <c r="U77" s="295">
        <f t="shared" si="54"/>
        <v>6.9999999999999751</v>
      </c>
      <c r="V77" s="306">
        <f t="shared" si="52"/>
        <v>31.00000000000005</v>
      </c>
      <c r="W77" s="16"/>
      <c r="X77" s="16"/>
      <c r="Y77" s="19"/>
      <c r="Z77" s="19"/>
      <c r="AA77" s="624"/>
      <c r="AB77" s="625"/>
      <c r="AC77" s="35"/>
      <c r="AD77" s="18"/>
      <c r="AE77" s="14">
        <f t="shared" si="43"/>
        <v>-108.38709677419729</v>
      </c>
      <c r="AF77" s="294">
        <f t="shared" si="53"/>
        <v>0.9548387096774178</v>
      </c>
      <c r="AG77" s="615"/>
    </row>
    <row r="78" spans="1:33" ht="16.5" customHeight="1">
      <c r="A78" s="621" t="s">
        <v>1356</v>
      </c>
      <c r="B78" s="29" t="s">
        <v>1351</v>
      </c>
      <c r="C78" s="612"/>
      <c r="D78" s="613"/>
      <c r="E78" s="297"/>
      <c r="F78" s="30"/>
      <c r="G78" s="12"/>
      <c r="H78" s="307"/>
      <c r="I78" s="23">
        <v>16</v>
      </c>
      <c r="J78" s="31">
        <v>2400</v>
      </c>
      <c r="K78" s="12">
        <f t="shared" si="46"/>
        <v>150</v>
      </c>
      <c r="L78" s="23">
        <v>16</v>
      </c>
      <c r="M78" s="13">
        <f>AVERAGE(M69:M77)</f>
        <v>2297.9496777551794</v>
      </c>
      <c r="N78" s="12">
        <f t="shared" si="48"/>
        <v>143.62185485969871</v>
      </c>
      <c r="O78" s="14">
        <f t="shared" si="49"/>
        <v>0</v>
      </c>
      <c r="P78" s="15">
        <f t="shared" si="50"/>
        <v>-6.3781451403012852</v>
      </c>
      <c r="Q78" s="294">
        <f t="shared" si="51"/>
        <v>0.95747903239799148</v>
      </c>
      <c r="R78" s="615"/>
      <c r="S78" s="34"/>
      <c r="T78" s="34"/>
      <c r="U78" s="12"/>
      <c r="V78" s="306"/>
      <c r="W78" s="12"/>
      <c r="X78" s="12"/>
      <c r="Y78" s="24">
        <f>SUM(Y69:Y77)</f>
        <v>0</v>
      </c>
      <c r="Z78" s="24">
        <f>SUM(Z69:Z77)</f>
        <v>0</v>
      </c>
      <c r="AA78" s="614"/>
      <c r="AB78" s="614"/>
      <c r="AC78" s="24">
        <v>9</v>
      </c>
      <c r="AD78" s="24">
        <f>SUM(AD69:AD77)</f>
        <v>0</v>
      </c>
      <c r="AE78" s="14">
        <f t="shared" si="43"/>
        <v>-102.05032224482056</v>
      </c>
      <c r="AF78" s="294">
        <f t="shared" si="53"/>
        <v>0.95747903239799148</v>
      </c>
      <c r="AG78" s="615"/>
    </row>
    <row r="79" spans="1:33">
      <c r="D79" s="25"/>
      <c r="E79" s="25"/>
      <c r="J79" s="96"/>
    </row>
  </sheetData>
  <mergeCells count="203">
    <mergeCell ref="A69:A78"/>
    <mergeCell ref="C69:D69"/>
    <mergeCell ref="R69:R78"/>
    <mergeCell ref="AA69:AB69"/>
    <mergeCell ref="AG69:AG78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C78:D78"/>
    <mergeCell ref="AA78:AB78"/>
    <mergeCell ref="AA72:AB72"/>
    <mergeCell ref="C73:D73"/>
    <mergeCell ref="AA73:AB73"/>
    <mergeCell ref="C74:D74"/>
    <mergeCell ref="AA74:AB74"/>
    <mergeCell ref="C75:D75"/>
    <mergeCell ref="AA75:AB75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63:A68"/>
    <mergeCell ref="C63:D63"/>
    <mergeCell ref="R63:R68"/>
    <mergeCell ref="AA63:AB63"/>
    <mergeCell ref="AA68:AB68"/>
    <mergeCell ref="AA58:AB58"/>
    <mergeCell ref="C59:D59"/>
    <mergeCell ref="AA59:AB59"/>
    <mergeCell ref="C60:D60"/>
    <mergeCell ref="AA60:AB60"/>
    <mergeCell ref="C61:D61"/>
    <mergeCell ref="AA61:AB61"/>
    <mergeCell ref="A54:A62"/>
    <mergeCell ref="C54:D54"/>
    <mergeCell ref="R54:R62"/>
    <mergeCell ref="AA54:AB54"/>
    <mergeCell ref="AG54:AG62"/>
    <mergeCell ref="C55:D55"/>
    <mergeCell ref="AA55:AB55"/>
    <mergeCell ref="C56:D56"/>
    <mergeCell ref="AA56:AB56"/>
    <mergeCell ref="AA57:AB57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C62:D62"/>
    <mergeCell ref="AA62:AB62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31:A39"/>
    <mergeCell ref="C31:D31"/>
    <mergeCell ref="R31:R39"/>
    <mergeCell ref="AA31:AB31"/>
    <mergeCell ref="C39:D39"/>
    <mergeCell ref="AA39:AB39"/>
    <mergeCell ref="A40:A48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6:O74 O62:O63 O78 O5:O10 O15:O17 O23:O59">
    <cfRule type="cellIs" dxfId="956" priority="66" operator="greaterThan">
      <formula>0</formula>
    </cfRule>
  </conditionalFormatting>
  <conditionalFormatting sqref="P5:P8 P66:P67 AE66:AE67 P69:P74 P31:P38 P63 P10 P15:P17 P24:P29 P54:P59 P40:P52 AE5:AE63 AE69:AE78">
    <cfRule type="cellIs" dxfId="955" priority="70" operator="lessThan">
      <formula>0</formula>
    </cfRule>
  </conditionalFormatting>
  <conditionalFormatting sqref="AF66:AF67 Q66:Q74 Q62:Q63 Q78 Q5:Q10 Q15:Q17 Q23:Q59 AF5:AF63 AF69:AF78">
    <cfRule type="cellIs" dxfId="954" priority="67" operator="greaterThan">
      <formula>1</formula>
    </cfRule>
    <cfRule type="cellIs" dxfId="953" priority="68" operator="lessThan">
      <formula>0.8</formula>
    </cfRule>
  </conditionalFormatting>
  <conditionalFormatting sqref="AG16:AG17 R16:R17 AG66 R66:R74 AG62:AG63 R62:R63 R78 AG5:AG10 R5:R10 AG23:AG59 R23:R59">
    <cfRule type="cellIs" dxfId="952" priority="72" operator="lessThan">
      <formula>0.8</formula>
    </cfRule>
  </conditionalFormatting>
  <conditionalFormatting sqref="AG49">
    <cfRule type="cellIs" dxfId="951" priority="74" operator="lessThan">
      <formula>0.8</formula>
    </cfRule>
  </conditionalFormatting>
  <conditionalFormatting sqref="AG24:AG29">
    <cfRule type="cellIs" dxfId="950" priority="71" operator="lessThan">
      <formula>0.8</formula>
    </cfRule>
  </conditionalFormatting>
  <conditionalFormatting sqref="AG31">
    <cfRule type="cellIs" dxfId="949" priority="73" operator="lessThan">
      <formula>0.8</formula>
    </cfRule>
  </conditionalFormatting>
  <conditionalFormatting sqref="AG40:AG47">
    <cfRule type="cellIs" dxfId="948" priority="69" operator="lessThan">
      <formula>0.8</formula>
    </cfRule>
  </conditionalFormatting>
  <conditionalFormatting sqref="AE68">
    <cfRule type="cellIs" dxfId="947" priority="65" operator="lessThan">
      <formula>0</formula>
    </cfRule>
  </conditionalFormatting>
  <conditionalFormatting sqref="AF68">
    <cfRule type="cellIs" dxfId="946" priority="63" operator="greaterThan">
      <formula>1</formula>
    </cfRule>
    <cfRule type="cellIs" dxfId="945" priority="64" operator="lessThan">
      <formula>0.8</formula>
    </cfRule>
  </conditionalFormatting>
  <conditionalFormatting sqref="O18:O19">
    <cfRule type="cellIs" dxfId="944" priority="58" operator="greaterThan">
      <formula>0</formula>
    </cfRule>
  </conditionalFormatting>
  <conditionalFormatting sqref="P18:P19">
    <cfRule type="cellIs" dxfId="943" priority="61" operator="lessThan">
      <formula>0</formula>
    </cfRule>
  </conditionalFormatting>
  <conditionalFormatting sqref="Q18:Q19">
    <cfRule type="cellIs" dxfId="942" priority="59" operator="greaterThan">
      <formula>1</formula>
    </cfRule>
    <cfRule type="cellIs" dxfId="941" priority="60" operator="lessThan">
      <formula>0.8</formula>
    </cfRule>
  </conditionalFormatting>
  <conditionalFormatting sqref="R18:R19 AG18:AG19">
    <cfRule type="cellIs" dxfId="940" priority="62" operator="lessThan">
      <formula>0.8</formula>
    </cfRule>
  </conditionalFormatting>
  <conditionalFormatting sqref="O11:O14">
    <cfRule type="cellIs" dxfId="939" priority="54" operator="greaterThan">
      <formula>0</formula>
    </cfRule>
  </conditionalFormatting>
  <conditionalFormatting sqref="P11:P14">
    <cfRule type="cellIs" dxfId="938" priority="57" operator="lessThan">
      <formula>0</formula>
    </cfRule>
  </conditionalFormatting>
  <conditionalFormatting sqref="Q11:Q14">
    <cfRule type="cellIs" dxfId="937" priority="55" operator="greaterThan">
      <formula>1</formula>
    </cfRule>
    <cfRule type="cellIs" dxfId="936" priority="56" operator="lessThan">
      <formula>0.8</formula>
    </cfRule>
  </conditionalFormatting>
  <conditionalFormatting sqref="O60">
    <cfRule type="cellIs" dxfId="935" priority="49" operator="greaterThan">
      <formula>0</formula>
    </cfRule>
  </conditionalFormatting>
  <conditionalFormatting sqref="P60">
    <cfRule type="cellIs" dxfId="934" priority="52" operator="lessThan">
      <formula>0</formula>
    </cfRule>
  </conditionalFormatting>
  <conditionalFormatting sqref="Q60">
    <cfRule type="cellIs" dxfId="933" priority="50" operator="greaterThan">
      <formula>1</formula>
    </cfRule>
    <cfRule type="cellIs" dxfId="932" priority="51" operator="lessThan">
      <formula>0.8</formula>
    </cfRule>
  </conditionalFormatting>
  <conditionalFormatting sqref="R60 AG60">
    <cfRule type="cellIs" dxfId="931" priority="53" operator="lessThan">
      <formula>0.8</formula>
    </cfRule>
  </conditionalFormatting>
  <conditionalFormatting sqref="O65">
    <cfRule type="cellIs" dxfId="930" priority="44" operator="greaterThan">
      <formula>0</formula>
    </cfRule>
  </conditionalFormatting>
  <conditionalFormatting sqref="P65 AE65">
    <cfRule type="cellIs" dxfId="929" priority="47" operator="lessThan">
      <formula>0</formula>
    </cfRule>
  </conditionalFormatting>
  <conditionalFormatting sqref="Q65 AF65">
    <cfRule type="cellIs" dxfId="928" priority="45" operator="greaterThan">
      <formula>1</formula>
    </cfRule>
    <cfRule type="cellIs" dxfId="927" priority="46" operator="lessThan">
      <formula>0.8</formula>
    </cfRule>
  </conditionalFormatting>
  <conditionalFormatting sqref="R65 AG65">
    <cfRule type="cellIs" dxfId="926" priority="48" operator="lessThan">
      <formula>0.8</formula>
    </cfRule>
  </conditionalFormatting>
  <conditionalFormatting sqref="O75">
    <cfRule type="cellIs" dxfId="925" priority="39" operator="greaterThan">
      <formula>0</formula>
    </cfRule>
  </conditionalFormatting>
  <conditionalFormatting sqref="P75">
    <cfRule type="cellIs" dxfId="924" priority="42" operator="lessThan">
      <formula>0</formula>
    </cfRule>
  </conditionalFormatting>
  <conditionalFormatting sqref="Q75">
    <cfRule type="cellIs" dxfId="923" priority="40" operator="greaterThan">
      <formula>1</formula>
    </cfRule>
    <cfRule type="cellIs" dxfId="922" priority="41" operator="lessThan">
      <formula>0.8</formula>
    </cfRule>
  </conditionalFormatting>
  <conditionalFormatting sqref="R75">
    <cfRule type="cellIs" dxfId="921" priority="43" operator="lessThan">
      <formula>0.8</formula>
    </cfRule>
  </conditionalFormatting>
  <conditionalFormatting sqref="O20:O21">
    <cfRule type="cellIs" dxfId="920" priority="34" operator="greaterThan">
      <formula>0</formula>
    </cfRule>
  </conditionalFormatting>
  <conditionalFormatting sqref="P20:P21">
    <cfRule type="cellIs" dxfId="919" priority="37" operator="lessThan">
      <formula>0</formula>
    </cfRule>
  </conditionalFormatting>
  <conditionalFormatting sqref="Q20:Q21">
    <cfRule type="cellIs" dxfId="918" priority="35" operator="greaterThan">
      <formula>1</formula>
    </cfRule>
    <cfRule type="cellIs" dxfId="917" priority="36" operator="lessThan">
      <formula>0.8</formula>
    </cfRule>
  </conditionalFormatting>
  <conditionalFormatting sqref="R20:R21 AG20:AG21">
    <cfRule type="cellIs" dxfId="916" priority="38" operator="lessThan">
      <formula>0.8</formula>
    </cfRule>
  </conditionalFormatting>
  <conditionalFormatting sqref="O61">
    <cfRule type="cellIs" dxfId="915" priority="29" operator="greaterThan">
      <formula>0</formula>
    </cfRule>
  </conditionalFormatting>
  <conditionalFormatting sqref="P61">
    <cfRule type="cellIs" dxfId="914" priority="32" operator="lessThan">
      <formula>0</formula>
    </cfRule>
  </conditionalFormatting>
  <conditionalFormatting sqref="Q61">
    <cfRule type="cellIs" dxfId="913" priority="30" operator="greaterThan">
      <formula>1</formula>
    </cfRule>
    <cfRule type="cellIs" dxfId="912" priority="31" operator="lessThan">
      <formula>0.8</formula>
    </cfRule>
  </conditionalFormatting>
  <conditionalFormatting sqref="AG61 R61">
    <cfRule type="cellIs" dxfId="911" priority="33" operator="lessThan">
      <formula>0.8</formula>
    </cfRule>
  </conditionalFormatting>
  <conditionalFormatting sqref="O64">
    <cfRule type="cellIs" dxfId="910" priority="24" operator="greaterThan">
      <formula>0</formula>
    </cfRule>
  </conditionalFormatting>
  <conditionalFormatting sqref="P64 AE64">
    <cfRule type="cellIs" dxfId="909" priority="27" operator="lessThan">
      <formula>0</formula>
    </cfRule>
  </conditionalFormatting>
  <conditionalFormatting sqref="Q64 AF64">
    <cfRule type="cellIs" dxfId="908" priority="25" operator="greaterThan">
      <formula>1</formula>
    </cfRule>
    <cfRule type="cellIs" dxfId="907" priority="26" operator="lessThan">
      <formula>0.8</formula>
    </cfRule>
  </conditionalFormatting>
  <conditionalFormatting sqref="R64 AG64">
    <cfRule type="cellIs" dxfId="906" priority="28" operator="lessThan">
      <formula>0.8</formula>
    </cfRule>
  </conditionalFormatting>
  <conditionalFormatting sqref="O22">
    <cfRule type="cellIs" dxfId="905" priority="19" operator="greaterThan">
      <formula>0</formula>
    </cfRule>
  </conditionalFormatting>
  <conditionalFormatting sqref="P22">
    <cfRule type="cellIs" dxfId="904" priority="22" operator="lessThan">
      <formula>0</formula>
    </cfRule>
  </conditionalFormatting>
  <conditionalFormatting sqref="Q22">
    <cfRule type="cellIs" dxfId="903" priority="20" operator="greaterThan">
      <formula>1</formula>
    </cfRule>
    <cfRule type="cellIs" dxfId="902" priority="21" operator="lessThan">
      <formula>0.8</formula>
    </cfRule>
  </conditionalFormatting>
  <conditionalFormatting sqref="AG22 R22">
    <cfRule type="cellIs" dxfId="901" priority="23" operator="lessThan">
      <formula>0.8</formula>
    </cfRule>
  </conditionalFormatting>
  <conditionalFormatting sqref="P9">
    <cfRule type="cellIs" dxfId="900" priority="18" operator="lessThan">
      <formula>0</formula>
    </cfRule>
  </conditionalFormatting>
  <conditionalFormatting sqref="P23">
    <cfRule type="cellIs" dxfId="899" priority="17" operator="lessThan">
      <formula>0</formula>
    </cfRule>
  </conditionalFormatting>
  <conditionalFormatting sqref="P30">
    <cfRule type="cellIs" dxfId="898" priority="16" operator="lessThan">
      <formula>0</formula>
    </cfRule>
  </conditionalFormatting>
  <conditionalFormatting sqref="P39">
    <cfRule type="cellIs" dxfId="897" priority="15" operator="lessThan">
      <formula>0</formula>
    </cfRule>
  </conditionalFormatting>
  <conditionalFormatting sqref="P53">
    <cfRule type="cellIs" dxfId="896" priority="14" operator="lessThan">
      <formula>0</formula>
    </cfRule>
  </conditionalFormatting>
  <conditionalFormatting sqref="P62">
    <cfRule type="cellIs" dxfId="895" priority="13" operator="lessThan">
      <formula>0</formula>
    </cfRule>
  </conditionalFormatting>
  <conditionalFormatting sqref="P68">
    <cfRule type="cellIs" dxfId="894" priority="12" operator="lessThan">
      <formula>0</formula>
    </cfRule>
  </conditionalFormatting>
  <conditionalFormatting sqref="P78">
    <cfRule type="cellIs" dxfId="893" priority="11" operator="lessThan">
      <formula>0</formula>
    </cfRule>
  </conditionalFormatting>
  <conditionalFormatting sqref="O76">
    <cfRule type="cellIs" dxfId="892" priority="6" operator="greaterThan">
      <formula>0</formula>
    </cfRule>
  </conditionalFormatting>
  <conditionalFormatting sqref="P76">
    <cfRule type="cellIs" dxfId="891" priority="9" operator="lessThan">
      <formula>0</formula>
    </cfRule>
  </conditionalFormatting>
  <conditionalFormatting sqref="Q76">
    <cfRule type="cellIs" dxfId="890" priority="7" operator="greaterThan">
      <formula>1</formula>
    </cfRule>
    <cfRule type="cellIs" dxfId="889" priority="8" operator="lessThan">
      <formula>0.8</formula>
    </cfRule>
  </conditionalFormatting>
  <conditionalFormatting sqref="R76">
    <cfRule type="cellIs" dxfId="888" priority="10" operator="lessThan">
      <formula>0.8</formula>
    </cfRule>
  </conditionalFormatting>
  <conditionalFormatting sqref="O77">
    <cfRule type="cellIs" dxfId="887" priority="1" operator="greaterThan">
      <formula>0</formula>
    </cfRule>
  </conditionalFormatting>
  <conditionalFormatting sqref="P77">
    <cfRule type="cellIs" dxfId="886" priority="4" operator="lessThan">
      <formula>0</formula>
    </cfRule>
  </conditionalFormatting>
  <conditionalFormatting sqref="Q77">
    <cfRule type="cellIs" dxfId="885" priority="2" operator="greaterThan">
      <formula>1</formula>
    </cfRule>
    <cfRule type="cellIs" dxfId="884" priority="3" operator="lessThan">
      <formula>0.8</formula>
    </cfRule>
  </conditionalFormatting>
  <conditionalFormatting sqref="R77">
    <cfRule type="cellIs" dxfId="883" priority="5" operator="lessThan">
      <formula>0.8</formula>
    </cfRule>
  </conditionalFormatting>
  <dataValidations count="1">
    <dataValidation type="list" allowBlank="1" showInputMessage="1" showErrorMessage="1" sqref="AB9 AA5:AB8 AB67 AA9:AA67 AB11:AB63 AA68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1216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1217</v>
      </c>
      <c r="C3" s="601" t="str">
        <f>TEXT('0613 4度C'!A2,"yyyy.mm.ddaaaa")</f>
        <v>2026.06.13星期六</v>
      </c>
      <c r="D3" s="602"/>
      <c r="E3" s="39" t="s">
        <v>1218</v>
      </c>
      <c r="F3" s="603">
        <f>'0613 4度C'!D1</f>
        <v>169344</v>
      </c>
      <c r="G3" s="604"/>
      <c r="H3" s="39" t="s">
        <v>1219</v>
      </c>
      <c r="I3" s="605">
        <f>'0613 4度C'!F1</f>
        <v>5913989.0699999984</v>
      </c>
      <c r="J3" s="606"/>
      <c r="K3" s="40"/>
      <c r="L3" s="41"/>
      <c r="M3" s="42"/>
      <c r="N3" s="42"/>
    </row>
    <row r="4" spans="2:17" ht="28.5" customHeight="1">
      <c r="B4" s="607" t="s">
        <v>1220</v>
      </c>
      <c r="C4" s="593" t="s">
        <v>93</v>
      </c>
      <c r="D4" s="594"/>
      <c r="E4" s="610" t="s">
        <v>1221</v>
      </c>
      <c r="F4" s="611"/>
      <c r="G4" s="610" t="s">
        <v>1222</v>
      </c>
      <c r="H4" s="611"/>
      <c r="I4" s="610" t="s">
        <v>1223</v>
      </c>
      <c r="J4" s="611"/>
      <c r="K4" s="591" t="s">
        <v>1224</v>
      </c>
      <c r="L4" s="592"/>
      <c r="M4" s="592" t="s">
        <v>1225</v>
      </c>
      <c r="N4" s="592"/>
    </row>
    <row r="5" spans="2:17" ht="28.5" customHeight="1">
      <c r="B5" s="608"/>
      <c r="C5" s="593" t="s">
        <v>1226</v>
      </c>
      <c r="D5" s="594"/>
      <c r="E5" s="593" t="s">
        <v>1227</v>
      </c>
      <c r="F5" s="594"/>
      <c r="G5" s="595" t="s">
        <v>1228</v>
      </c>
      <c r="H5" s="596"/>
      <c r="I5" s="597" t="s">
        <v>1229</v>
      </c>
      <c r="J5" s="598"/>
      <c r="K5" s="43" t="s">
        <v>1230</v>
      </c>
      <c r="L5" s="44" t="s">
        <v>1231</v>
      </c>
      <c r="M5" s="43" t="s">
        <v>1230</v>
      </c>
      <c r="N5" s="44" t="s">
        <v>1232</v>
      </c>
    </row>
    <row r="6" spans="2:17" ht="28.5" customHeight="1">
      <c r="B6" s="608"/>
      <c r="C6" s="593" t="s">
        <v>58</v>
      </c>
      <c r="D6" s="594"/>
      <c r="E6" s="585">
        <f>AVERAGE(D13:M13)</f>
        <v>152.74831639406824</v>
      </c>
      <c r="F6" s="586">
        <f>AVERAGE(D31:O31,D13:J13)</f>
        <v>159.68807284091767</v>
      </c>
      <c r="G6" s="587">
        <f>AVERAGE(D13:J13)</f>
        <v>159.68807284091767</v>
      </c>
      <c r="H6" s="588"/>
      <c r="I6" s="587">
        <f>AVERAGE(K13:M13)</f>
        <v>136.55555135141955</v>
      </c>
      <c r="J6" s="588"/>
      <c r="K6" s="589">
        <f>'0613 4度C'!Y2</f>
        <v>0</v>
      </c>
      <c r="L6" s="574">
        <f>'0613 4度C'!Z2</f>
        <v>0</v>
      </c>
      <c r="M6" s="590">
        <f>'0613 4度C'!AC2</f>
        <v>55</v>
      </c>
      <c r="N6" s="574">
        <f>'0613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146.30580298489926</v>
      </c>
      <c r="F7" s="578">
        <f>AVERAGE(D32:O32,D14:J14)</f>
        <v>153.02239492372291</v>
      </c>
      <c r="G7" s="579">
        <f>AVERAGE(D14:J14)</f>
        <v>153.02239492372291</v>
      </c>
      <c r="H7" s="580"/>
      <c r="I7" s="579">
        <f>AVERAGE(K14:M14)</f>
        <v>130.63375512764409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0.95771173093410644</v>
      </c>
      <c r="F8" s="582">
        <f>AVERAGE(D15:J15,D33:O33)</f>
        <v>0.95818751306616001</v>
      </c>
      <c r="G8" s="583">
        <f>AVERAGE(D15:J15)</f>
        <v>0.95818751306616001</v>
      </c>
      <c r="H8" s="584"/>
      <c r="I8" s="583">
        <f>AVERAGE(K15:M15)</f>
        <v>0.95660157262598122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1233</v>
      </c>
      <c r="N9" s="42"/>
      <c r="O9" s="42"/>
      <c r="P9" s="42"/>
      <c r="Q9" s="42"/>
    </row>
    <row r="10" spans="2:17" ht="30" customHeight="1">
      <c r="B10" s="557" t="s">
        <v>105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203</v>
      </c>
      <c r="L10" s="563"/>
      <c r="M10" s="564"/>
      <c r="P10" s="48"/>
      <c r="Q10" s="48"/>
    </row>
    <row r="11" spans="2:17" ht="17.25" customHeight="1">
      <c r="B11" s="565" t="s">
        <v>108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109</v>
      </c>
      <c r="C13" s="55" t="s">
        <v>302</v>
      </c>
      <c r="D13" s="56">
        <f>SUMIFS('0613 4度C'!$K:$K,'0613 4度C'!$A:$A,"新豐6線",'0613 4度C'!$B:$B,"平均")</f>
        <v>130.43478260869566</v>
      </c>
      <c r="E13" s="57">
        <f>SUMIFS('0613 4度C'!$K:$K,'0613 4度C'!$A:$A,"新豐2線",'0613 4度C'!$B:$B,"平均")</f>
        <v>86.956521739130437</v>
      </c>
      <c r="F13" s="58">
        <f>SUMIFS('0613 4度C'!$K:$K,'0613 4度C'!$A:$A,"新豐5線",'0613 4度C'!$B:$B,"平均")</f>
        <v>87.786259541984734</v>
      </c>
      <c r="G13" s="58">
        <f>SUMIFS('0613 4度C'!$K:$K,'0613 4度C'!$A:$A,"新豐7線",'0613 4度C'!$B:$B,"平均")</f>
        <v>125</v>
      </c>
      <c r="H13" s="58">
        <f>SUMIFS('0613 4度C'!$K:$K,'0613 4度C'!$A:$A,"新豐3線",'0613 4度C'!$B:$B,"平均")</f>
        <v>255.81395348837211</v>
      </c>
      <c r="I13" s="58">
        <f>SUMIFS('0613 4度C'!$K:$K,'0613 4度C'!$A:$A,"新豐1線",'0613 4度C'!$B:$B,"平均")</f>
        <v>112.67605633802818</v>
      </c>
      <c r="J13" s="59">
        <f>SUMIFS('0613 4度C'!$K:$K,'0613 4度C'!$A:$A,"新豐10線",'0613 4度C'!$B:$B,"平均")</f>
        <v>319.14893617021278</v>
      </c>
      <c r="K13" s="60">
        <f>SUMIFS('0613 4度C'!$K:$K,'0613 4度C'!$A:$A,"新豐8線",'0613 4度C'!$B:$B,"平均")</f>
        <v>138.46153846153848</v>
      </c>
      <c r="L13" s="61">
        <f>SUMIFS('0613 4度C'!$K:$K,'0613 4度C'!$A:$A,"新豐9線",'0613 4度C'!$B:$B,"平均")</f>
        <v>119.62616822429908</v>
      </c>
      <c r="M13" s="59">
        <f>SUMIFS('0613 4度C'!$K:$K,'0613 4度C'!$A:$A,"新豐4線",'0613 4度C'!$B:$B,"平均")</f>
        <v>151.57894736842104</v>
      </c>
    </row>
    <row r="14" spans="2:17" ht="39.6" customHeight="1">
      <c r="B14" s="570"/>
      <c r="C14" s="62" t="s">
        <v>111</v>
      </c>
      <c r="D14" s="63">
        <f>SUMIFS('0613 4度C'!$N:$N,'0613 4度C'!$A:$A,"新豐6線",'0613 4度C'!$B:$B,"平均")</f>
        <v>124.85444439210507</v>
      </c>
      <c r="E14" s="64">
        <f>SUMIFS('0613 4度C'!$N:$N,'0613 4度C'!$A:$A,"新豐2線",'0613 4度C'!$B:$B,"平均")</f>
        <v>83.195782840002508</v>
      </c>
      <c r="F14" s="64">
        <f>SUMIFS('0613 4度C'!$N:$N,'0613 4度C'!$A:$A,"新豐5線",'0613 4度C'!$B:$B,"平均")</f>
        <v>84.405850154753466</v>
      </c>
      <c r="G14" s="64">
        <f>SUMIFS('0613 4度C'!$N:$N,'0613 4度C'!$A:$A,"新豐7線",'0613 4度C'!$B:$B,"平均")</f>
        <v>119.78587422026084</v>
      </c>
      <c r="H14" s="64">
        <f>SUMIFS('0613 4度C'!$N:$N,'0613 4度C'!$A:$A,"新豐3線",'0613 4度C'!$B:$B,"平均")</f>
        <v>245.04318936877078</v>
      </c>
      <c r="I14" s="64">
        <f>SUMIFS('0613 4度C'!$N:$N,'0613 4度C'!$A:$A,"新豐1線",'0613 4度C'!$B:$B,"平均")</f>
        <v>107.78579437209332</v>
      </c>
      <c r="J14" s="65">
        <f>SUMIFS('0613 4度C'!$N:$N,'0613 4度C'!$A:$A,"新豐10線",'0613 4度C'!$B:$B,"平均")</f>
        <v>306.08582911807434</v>
      </c>
      <c r="K14" s="66">
        <f>SUMIFS('0613 4度C'!$N:$N,'0613 4度C'!$A:$A,"新豐8線",'0613 4度C'!$B:$B,"平均")</f>
        <v>132.69264375137436</v>
      </c>
      <c r="L14" s="67">
        <f>SUMIFS('0613 4度C'!$N:$N,'0613 4度C'!$A:$A,"新豐9線",'0613 4度C'!$B:$B,"平均")</f>
        <v>114.29887417936744</v>
      </c>
      <c r="M14" s="65">
        <f>SUMIFS('0613 4度C'!$N:$N,'0613 4度C'!$A:$A,"新豐4線",'0613 4度C'!$B:$B,"平均")</f>
        <v>144.90974745219052</v>
      </c>
    </row>
    <row r="15" spans="2:17" ht="40.15" customHeight="1">
      <c r="B15" s="571"/>
      <c r="C15" s="68" t="s">
        <v>112</v>
      </c>
      <c r="D15" s="69">
        <f t="shared" ref="D15:M15" si="0">D14/D13</f>
        <v>0.95721740700613878</v>
      </c>
      <c r="E15" s="70">
        <f t="shared" si="0"/>
        <v>0.95675150266002884</v>
      </c>
      <c r="F15" s="70">
        <f t="shared" si="0"/>
        <v>0.96149272784980033</v>
      </c>
      <c r="G15" s="70">
        <f t="shared" si="0"/>
        <v>0.9582869937620867</v>
      </c>
      <c r="H15" s="70">
        <f t="shared" si="0"/>
        <v>0.95789610389610391</v>
      </c>
      <c r="I15" s="70">
        <f t="shared" si="0"/>
        <v>0.95659892505232813</v>
      </c>
      <c r="J15" s="71">
        <f t="shared" si="0"/>
        <v>0.95906893123663295</v>
      </c>
      <c r="K15" s="69">
        <f t="shared" si="0"/>
        <v>0.95833576042659252</v>
      </c>
      <c r="L15" s="70">
        <f t="shared" si="0"/>
        <v>0.95546715134314963</v>
      </c>
      <c r="M15" s="71">
        <f t="shared" si="0"/>
        <v>0.9560018061082014</v>
      </c>
    </row>
    <row r="16" spans="2:17" ht="17.25" customHeight="1">
      <c r="B16" s="572" t="s">
        <v>1234</v>
      </c>
      <c r="C16" s="72" t="s">
        <v>1235</v>
      </c>
      <c r="D16" s="73">
        <f>VLOOKUP("新豐6線",'0613 4度C'!$A:$T,19,0)</f>
        <v>0.70833333333333337</v>
      </c>
      <c r="E16" s="74">
        <f>VLOOKUP("新豐2線",'0613 4度C'!$A:$T,19,0)</f>
        <v>8.3333333333333329E-2</v>
      </c>
      <c r="F16" s="74">
        <f>VLOOKUP("新豐5線",'0613 4度C'!$A:$T,19,0)</f>
        <v>8.3333333333333329E-2</v>
      </c>
      <c r="G16" s="74">
        <f>VLOOKUP("新豐7線",'0613 4度C'!$A:$T,19,0)</f>
        <v>0.20833333333333334</v>
      </c>
      <c r="H16" s="74">
        <f>VLOOKUP("新豐3線",'0613 4度C'!$A:$T,19,0)</f>
        <v>8.3333333333333329E-2</v>
      </c>
      <c r="I16" s="74">
        <f>VLOOKUP("新豐1線",'0613 4度C'!$A:$T,19,0)</f>
        <v>0.16666666666666666</v>
      </c>
      <c r="J16" s="75">
        <f>VLOOKUP("新豐10線",'0613 4度C'!$A:$T,19,0)</f>
        <v>0.20833333333333334</v>
      </c>
      <c r="K16" s="76">
        <f>VLOOKUP("新豐8線",'0613 4度C'!$A:$T,19,0)</f>
        <v>8.3333333333333329E-2</v>
      </c>
      <c r="L16" s="77">
        <f>VLOOKUP("新豐9線",'0613 4度C'!$A:$T,19,0)</f>
        <v>8.3333333333333329E-2</v>
      </c>
      <c r="M16" s="78">
        <f>VLOOKUP("新豐4線",'0613 4度C'!$A:$T,19,0)</f>
        <v>8.3333333333333329E-2</v>
      </c>
    </row>
    <row r="17" spans="2:13" ht="17.25" customHeight="1">
      <c r="B17" s="573"/>
      <c r="C17" s="72" t="s">
        <v>115</v>
      </c>
      <c r="D17" s="76">
        <f>LOOKUP(2,1/(('0613 4度C'!$A:$A="新豐6線")*('0613 4度C'!$T:$T&lt;&gt;"")),'0613 4度C'!$T:$T)</f>
        <v>0.85069444444444453</v>
      </c>
      <c r="E17" s="74">
        <f>LOOKUP(2,1/(('0613 4度C'!$A:$A="新豐2線")*('0613 4度C'!$T:$T&lt;&gt;"")),'0613 4度C'!$T:$T)</f>
        <v>0.61944444444444446</v>
      </c>
      <c r="F17" s="74">
        <f>LOOKUP(2,1/(('0613 4度C'!$A:$A="新豐5線")*('0613 4度C'!$T:$T&lt;&gt;"")),'0613 4度C'!$T:$T)</f>
        <v>0.80694444444444446</v>
      </c>
      <c r="G17" s="74">
        <f>LOOKUP(2,1/(('0613 4度C'!$A:$A="新豐7線")*('0613 4度C'!$T:$T&lt;&gt;"")),'0613 4度C'!$T:$T)</f>
        <v>0.83263888888888882</v>
      </c>
      <c r="H17" s="74">
        <f>LOOKUP(2,1/(('0613 4度C'!$A:$A="新豐3線")*('0613 4度C'!$T:$T&lt;&gt;"")),'0613 4度C'!$T:$T)</f>
        <v>0.35416666666666663</v>
      </c>
      <c r="I17" s="74">
        <f>LOOKUP(2,1/(('0613 4度C'!$A:$A="新豐1線")*('0613 4度C'!$T:$T&lt;&gt;"")),'0613 4度C'!$T:$T)</f>
        <v>0.83541666666666659</v>
      </c>
      <c r="J17" s="75">
        <f>LOOKUP(2,1/(('0613 4度C'!$A:$A="新豐10線")*('0613 4度C'!$T:$T&lt;&gt;"")),'0613 4度C'!$T:$T)</f>
        <v>0.38194444444444442</v>
      </c>
      <c r="K17" s="73">
        <f>LOOKUP(2,1/(('0613 4度C'!$A:$A="新豐8線")*('0613 4度C'!$T:$T&lt;&gt;"")),'0613 4度C'!$T:$T)</f>
        <v>0.61458333333333326</v>
      </c>
      <c r="L17" s="74">
        <f>LOOKUP(2,1/(('0613 4度C'!$A:$A="新豐9線")*('0613 4度C'!$T:$T&lt;&gt;"")),'0613 4度C'!$T:$T)</f>
        <v>0.61874999999999991</v>
      </c>
      <c r="M17" s="75">
        <f>LOOKUP(2,1/(('0613 4度C'!$A:$A="新豐4線")*('0613 4度C'!$T:$T&lt;&gt;"")),'0613 4度C'!$T:$T)</f>
        <v>0.61388888888888882</v>
      </c>
    </row>
    <row r="18" spans="2:13" ht="17.25" customHeight="1">
      <c r="B18" s="551" t="s">
        <v>1236</v>
      </c>
      <c r="C18" s="79" t="s">
        <v>1237</v>
      </c>
      <c r="D18" s="80">
        <f>SUMIFS('0613 4度C'!$Y:$Y,'0613 4度C'!$A:$A,"新豐6線",'0613 4度C'!$B:$B,"平均")</f>
        <v>0</v>
      </c>
      <c r="E18" s="81">
        <f>SUMIFS('0613 4度C'!$Y:$Y,'0613 4度C'!$A:$A,"新豐2線",'0613 4度C'!$B:$B,"平均")</f>
        <v>0</v>
      </c>
      <c r="F18" s="81">
        <f>SUMIFS('0613 4度C'!$Y:$Y,'0613 4度C'!$A:$A,"新豐5線",'0613 4度C'!$B:$B,"平均")</f>
        <v>0</v>
      </c>
      <c r="G18" s="81">
        <f>SUMIFS('0613 4度C'!$Y:$Y,'0613 4度C'!$A:$A,"新豐7線",'0613 4度C'!$B:$B,"平均")</f>
        <v>0</v>
      </c>
      <c r="H18" s="81">
        <f>SUMIFS('0613 4度C'!$Y:$Y,'0613 4度C'!$A:$A,"新豐3線",'0613 4度C'!$B:$B,"平均")</f>
        <v>0</v>
      </c>
      <c r="I18" s="81">
        <f>SUMIFS('0613 4度C'!$Y:$Y,'0613 4度C'!$A:$A,"新豐1線",'0613 4度C'!$B:$B,"平均")</f>
        <v>0</v>
      </c>
      <c r="J18" s="82">
        <f>SUMIFS('0613 4度C'!$Y:$Y,'0613 4度C'!$A:$A,"新豐10線",'0613 4度C'!$B:$B,"平均")</f>
        <v>0</v>
      </c>
      <c r="K18" s="83">
        <f>SUMIFS('0613 4度C'!$Y:$Y,'0613 4度C'!$A:$A,"新豐8線",'0613 4度C'!$B:$B,"平均")</f>
        <v>0</v>
      </c>
      <c r="L18" s="81">
        <f>SUMIFS('0613 4度C'!$Y:$Y,'0613 4度C'!$A:$A,"新豐9線",'0613 4度C'!$B:$B,"平均")</f>
        <v>0</v>
      </c>
      <c r="M18" s="82">
        <f>SUMIFS('0613 4度C'!$Y:$Y,'0613 4度C'!$A:$A,"新豐4線",'0613 4度C'!$B:$B,"平均")</f>
        <v>0</v>
      </c>
    </row>
    <row r="19" spans="2:13" ht="17.25" customHeight="1">
      <c r="B19" s="552"/>
      <c r="C19" s="79" t="s">
        <v>1238</v>
      </c>
      <c r="D19" s="80">
        <f>SUMIFS('0613 4度C'!$Z:$Z,'0613 4度C'!$A:$A,"新豐6線",'0613 4度C'!$B:$B,"平均")</f>
        <v>0</v>
      </c>
      <c r="E19" s="81">
        <f>SUMIFS('0613 4度C'!$Z:$Z,'0613 4度C'!$A:$A,"新豐2線",'0613 4度C'!$B:$B,"平均")</f>
        <v>0</v>
      </c>
      <c r="F19" s="81">
        <f>SUMIFS('0613 4度C'!$Z:$Z,'0613 4度C'!$A:$A,"新豐5線",'0613 4度C'!$B:$B,"平均")</f>
        <v>0</v>
      </c>
      <c r="G19" s="81">
        <f>SUMIFS('0613 4度C'!$Z:$Z,'0613 4度C'!$A:$A,"新豐7線",'0613 4度C'!$B:$B,"平均")</f>
        <v>0</v>
      </c>
      <c r="H19" s="81">
        <f>SUMIFS('0613 4度C'!$Z:$Z,'0613 4度C'!$A:$A,"新豐3線",'0613 4度C'!$B:$B,"平均")</f>
        <v>0</v>
      </c>
      <c r="I19" s="81">
        <f>SUMIFS('0613 4度C'!$Z:$Z,'0613 4度C'!$A:$A,"新豐1線",'0613 4度C'!$B:$B,"平均")</f>
        <v>0</v>
      </c>
      <c r="J19" s="82">
        <f>SUMIFS('0613 4度C'!$Z:$Z,'0613 4度C'!$A:$A,"新豐10線",'0613 4度C'!$B:$B,"平均")</f>
        <v>0</v>
      </c>
      <c r="K19" s="83">
        <f>SUMIFS('0613 4度C'!$Z:$Z,'0613 4度C'!$A:$A,"新豐8線",'0613 4度C'!$B:$B,"平均")</f>
        <v>0</v>
      </c>
      <c r="L19" s="81">
        <f>SUMIFS('0613 4度C'!$Z:$Z,'0613 4度C'!$A:$A,"新豐9線",'0613 4度C'!$B:$B,"平均")</f>
        <v>0</v>
      </c>
      <c r="M19" s="82">
        <f>SUMIFS('0613 4度C'!$Z:$Z,'0613 4度C'!$A:$A,"新豐4線",'0613 4度C'!$B:$B,"平均")</f>
        <v>0</v>
      </c>
    </row>
    <row r="20" spans="2:13" ht="17.25" customHeight="1">
      <c r="B20" s="551" t="s">
        <v>1239</v>
      </c>
      <c r="C20" s="79" t="s">
        <v>1237</v>
      </c>
      <c r="D20" s="80">
        <f>SUMIFS('0613 4度C'!$AC:$AC,'0613 4度C'!$A:$A,"新豐6線",'0613 4度C'!$B:$B,"平均")</f>
        <v>3</v>
      </c>
      <c r="E20" s="81">
        <f>SUMIFS('0613 4度C'!$AC:$AC,'0613 4度C'!$A:$A,"新豐2線",'0613 4度C'!$B:$B,"平均")</f>
        <v>4</v>
      </c>
      <c r="F20" s="81">
        <f>SUMIFS('0613 4度C'!$AC:$AC,'0613 4度C'!$A:$A,"新豐5線",'0613 4度C'!$B:$B,"平均")</f>
        <v>7</v>
      </c>
      <c r="G20" s="81">
        <f>SUMIFS('0613 4度C'!$AC:$AC,'0613 4度C'!$A:$A,"新豐7線",'0613 4度C'!$B:$B,"平均")</f>
        <v>6</v>
      </c>
      <c r="H20" s="81">
        <f>SUMIFS('0613 4度C'!$AC:$AC,'0613 4度C'!$A:$A,"新豐3線",'0613 4度C'!$B:$B,"平均")</f>
        <v>4</v>
      </c>
      <c r="I20" s="81">
        <f>SUMIFS('0613 4度C'!$AC:$AC,'0613 4度C'!$A:$A,"新豐1線",'0613 4度C'!$B:$B,"平均")</f>
        <v>8</v>
      </c>
      <c r="J20" s="82">
        <f>SUMIFS('0613 4度C'!$AC:$AC,'0613 4度C'!$A:$A,"新豐10線",'0613 4度C'!$B:$B,"平均")</f>
        <v>5</v>
      </c>
      <c r="K20" s="83">
        <f>SUMIFS('0613 4度C'!$AC:$AC,'0613 4度C'!$A:$A,"新豐8線",'0613 4度C'!$B:$B,"平均")</f>
        <v>6</v>
      </c>
      <c r="L20" s="81">
        <f>SUMIFS('0613 4度C'!$AC:$AC,'0613 4度C'!$A:$A,"新豐9線",'0613 4度C'!$B:$B,"平均")</f>
        <v>6</v>
      </c>
      <c r="M20" s="82">
        <f>SUMIFS('0613 4度C'!$AC:$AC,'0613 4度C'!$A:$A,"新豐4線",'0613 4度C'!$B:$B,"平均")</f>
        <v>6</v>
      </c>
    </row>
    <row r="21" spans="2:13" ht="17.25" customHeight="1">
      <c r="B21" s="552"/>
      <c r="C21" s="79" t="s">
        <v>1240</v>
      </c>
      <c r="D21" s="80">
        <f>SUMIFS('0613 4度C'!$AD:$AD,'0613 4度C'!$A:$A,"新豐6線",'0613 4度C'!$B:$B,"平均")</f>
        <v>0</v>
      </c>
      <c r="E21" s="81">
        <f>SUMIFS('0613 4度C'!$AD:$AD,'0613 4度C'!$A:$A,"新豐2線",'0613 4度C'!$B:$B,"平均")</f>
        <v>0</v>
      </c>
      <c r="F21" s="81">
        <f>SUMIFS('0613 4度C'!$AD:$AD,'0613 4度C'!$A:$A,"新豐5線",'0613 4度C'!$B:$B,"平均")</f>
        <v>0</v>
      </c>
      <c r="G21" s="81">
        <f>SUMIFS('0613 4度C'!$AD:$AD,'0613 4度C'!$A:$A,"新豐7線",'0613 4度C'!$B:$B,"平均")</f>
        <v>0</v>
      </c>
      <c r="H21" s="81">
        <f>SUMIFS('0613 4度C'!$AD:$AD,'0613 4度C'!$A:$A,"新豐3線",'0613 4度C'!$B:$B,"平均")</f>
        <v>0</v>
      </c>
      <c r="I21" s="81">
        <f>SUMIFS('0613 4度C'!$AD:$AD,'0613 4度C'!$A:$A,"新豐1線",'0613 4度C'!$B:$B,"平均")</f>
        <v>0</v>
      </c>
      <c r="J21" s="82">
        <f>SUMIFS('0613 4度C'!$AD:$AD,'0613 4度C'!$A:$A,"新豐10線",'0613 4度C'!$B:$B,"平均")</f>
        <v>0</v>
      </c>
      <c r="K21" s="83">
        <f>SUMIFS('0613 4度C'!$AD:$AD,'0613 4度C'!$A:$A,"新豐8線",'0613 4度C'!$B:$B,"平均")</f>
        <v>0</v>
      </c>
      <c r="L21" s="81">
        <f>SUMIFS('0613 4度C'!$AD:$AD,'0613 4度C'!$A:$A,"新豐9線",'0613 4度C'!$B:$B,"平均")</f>
        <v>0</v>
      </c>
      <c r="M21" s="82">
        <f>SUMIFS('0613 4度C'!$AD:$AD,'0613 4度C'!$A:$A,"新豐4線",'0613 4度C'!$B:$B,"平均")</f>
        <v>0</v>
      </c>
    </row>
    <row r="22" spans="2:13" ht="17.25" customHeight="1">
      <c r="B22" s="553" t="s">
        <v>1241</v>
      </c>
      <c r="C22" s="554"/>
      <c r="D22" s="84">
        <f>SUMIFS('0613 4度C'!$I:$I,'0613 4度C'!$A:$A,"新豐6線",'0613 4度C'!$B:$B,"平均")</f>
        <v>15.333333333333334</v>
      </c>
      <c r="E22" s="85">
        <f>SUMIFS('0613 4度C'!$I:$I,'0613 4度C'!$A:$A,"新豐2線",'0613 4度C'!$B:$B,"平均")</f>
        <v>17.25</v>
      </c>
      <c r="F22" s="85">
        <f>SUMIFS('0613 4度C'!$I:$I,'0613 4度C'!$A:$A,"新豐5線",'0613 4度C'!$B:$B,"平均")</f>
        <v>18.714285714285715</v>
      </c>
      <c r="G22" s="85">
        <f>SUMIFS('0613 4度C'!$I:$I,'0613 4度C'!$A:$A,"新豐7線",'0613 4度C'!$B:$B,"平均")</f>
        <v>15.333333333333334</v>
      </c>
      <c r="H22" s="85">
        <f>SUMIFS('0613 4度C'!$I:$I,'0613 4度C'!$A:$A,"新豐3線",'0613 4度C'!$B:$B,"平均")</f>
        <v>10.75</v>
      </c>
      <c r="I22" s="85">
        <f>SUMIFS('0613 4度C'!$I:$I,'0613 4度C'!$A:$A,"新豐1線",'0613 4度C'!$B:$B,"平均")</f>
        <v>17.75</v>
      </c>
      <c r="J22" s="86">
        <f>SUMIFS('0613 4度C'!$I:$I,'0613 4度C'!$A:$A,"新豐10線",'0613 4度C'!$B:$B,"平均")</f>
        <v>9.4</v>
      </c>
      <c r="K22" s="84">
        <f>SUMIFS('0613 4度C'!$I:$I,'0613 4度C'!$A:$A,"新豐8線",'0613 4度C'!$B:$B,"平均")</f>
        <v>17.333333333333332</v>
      </c>
      <c r="L22" s="85">
        <f>SUMIFS('0613 4度C'!$I:$I,'0613 4度C'!$A:$A,"新豐9線",'0613 4度C'!$B:$B,"平均")</f>
        <v>17.833333333333332</v>
      </c>
      <c r="M22" s="86">
        <f>SUMIFS('0613 4度C'!$I:$I,'0613 4度C'!$A:$A,"新豐4線",'0613 4度C'!$B:$B,"平均")</f>
        <v>15.833333333333334</v>
      </c>
    </row>
    <row r="23" spans="2:13" ht="17.25" customHeight="1">
      <c r="B23" s="553" t="s">
        <v>1242</v>
      </c>
      <c r="C23" s="554"/>
      <c r="D23" s="87" t="s">
        <v>71</v>
      </c>
      <c r="E23" s="88" t="s">
        <v>72</v>
      </c>
      <c r="F23" s="88" t="s">
        <v>1243</v>
      </c>
      <c r="G23" s="88" t="s">
        <v>1243</v>
      </c>
      <c r="H23" s="88" t="s">
        <v>73</v>
      </c>
      <c r="I23" s="88" t="s">
        <v>71</v>
      </c>
      <c r="J23" s="89" t="s">
        <v>73</v>
      </c>
      <c r="K23" s="87" t="s">
        <v>1244</v>
      </c>
      <c r="L23" s="88" t="s">
        <v>1244</v>
      </c>
      <c r="M23" s="89" t="s">
        <v>1244</v>
      </c>
    </row>
    <row r="24" spans="2:13" ht="17.25" customHeight="1">
      <c r="B24" s="553" t="s">
        <v>125</v>
      </c>
      <c r="C24" s="554"/>
      <c r="D24" s="87"/>
      <c r="E24" s="88"/>
      <c r="F24" s="88" t="s">
        <v>1245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1246</v>
      </c>
      <c r="C25" s="556"/>
      <c r="D25" s="90"/>
      <c r="E25" s="91" t="s">
        <v>1247</v>
      </c>
      <c r="F25" s="549" t="s">
        <v>1248</v>
      </c>
      <c r="G25" s="550"/>
      <c r="H25" s="91" t="s">
        <v>130</v>
      </c>
      <c r="I25" s="91" t="s">
        <v>1249</v>
      </c>
      <c r="J25" s="92" t="s">
        <v>1250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8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0"/>
  <sheetViews>
    <sheetView zoomScale="80" zoomScaleNormal="80" workbookViewId="0">
      <pane ySplit="4" topLeftCell="A5" activePane="bottomLeft" state="frozen"/>
      <selection activeCell="E6" sqref="E6:F6"/>
      <selection pane="bottomLeft" activeCell="E6" sqref="E6:F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132</v>
      </c>
      <c r="B1" s="1"/>
      <c r="C1" s="2" t="s">
        <v>133</v>
      </c>
      <c r="D1" s="3">
        <f>SUM(F5:F69)</f>
        <v>169344</v>
      </c>
      <c r="E1" s="286" t="s">
        <v>134</v>
      </c>
      <c r="F1" s="1">
        <f>SUM(G5:G69)</f>
        <v>5913989.0699999984</v>
      </c>
      <c r="G1" s="1" t="s">
        <v>135</v>
      </c>
      <c r="H1" s="4">
        <f>L8+L13+L47+L56+L21+L62+L35+L42+L28+L69</f>
        <v>155.53095238095239</v>
      </c>
      <c r="I1" s="663" t="s">
        <v>136</v>
      </c>
      <c r="J1" s="663"/>
      <c r="K1" s="663"/>
      <c r="L1" s="663" t="s">
        <v>137</v>
      </c>
      <c r="M1" s="663"/>
      <c r="N1" s="663"/>
      <c r="O1" s="663" t="s">
        <v>138</v>
      </c>
      <c r="P1" s="663"/>
      <c r="Q1" s="663"/>
      <c r="R1" s="663"/>
      <c r="S1" s="663" t="s">
        <v>139</v>
      </c>
      <c r="T1" s="663"/>
      <c r="U1" s="663"/>
      <c r="V1" s="663"/>
      <c r="W1" s="663"/>
      <c r="X1" s="663"/>
      <c r="Y1" s="5" t="s">
        <v>140</v>
      </c>
      <c r="Z1" s="6" t="s">
        <v>141</v>
      </c>
      <c r="AA1" s="664" t="s">
        <v>1251</v>
      </c>
      <c r="AB1" s="664"/>
      <c r="AC1" s="94" t="s">
        <v>140</v>
      </c>
      <c r="AD1" s="6" t="s">
        <v>143</v>
      </c>
      <c r="AE1" s="663" t="s">
        <v>144</v>
      </c>
      <c r="AF1" s="665"/>
      <c r="AG1" s="665"/>
    </row>
    <row r="2" spans="1:33" ht="26.25" customHeight="1">
      <c r="A2" s="27">
        <v>46186</v>
      </c>
      <c r="B2" s="28" t="s">
        <v>629</v>
      </c>
      <c r="C2" s="2" t="s">
        <v>109</v>
      </c>
      <c r="D2" s="8">
        <f>AVERAGE(N8,N13,N47,N56,N21,N62,N28,N35,N42,N69)</f>
        <v>146.30580298489926</v>
      </c>
      <c r="E2" s="9" t="s">
        <v>0</v>
      </c>
      <c r="F2" s="10">
        <f>F1/D1</f>
        <v>34.922932433390017</v>
      </c>
      <c r="G2" s="1" t="s">
        <v>1252</v>
      </c>
      <c r="H2" s="292">
        <f>COUNT(H5:H69)</f>
        <v>4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SUM(Y8+Y13+Y21+Y28+Y35+Y42+Y47+Y56+Y62+Y69)</f>
        <v>0</v>
      </c>
      <c r="Z2" s="11">
        <f>SUM(Z8+Z13+Z21+Z28+Z35+Z42+Z47+Z56+Z62+Z69)</f>
        <v>0</v>
      </c>
      <c r="AA2" s="664"/>
      <c r="AB2" s="664"/>
      <c r="AC2" s="95">
        <v>55</v>
      </c>
      <c r="AD2" s="11">
        <f>SUM(AD8+AD13+AD21+AD28+AD35+AD42+AD47+AD56+AD62+AD69)</f>
        <v>0</v>
      </c>
      <c r="AE2" s="665"/>
      <c r="AF2" s="665"/>
      <c r="AG2" s="665"/>
    </row>
    <row r="3" spans="1:33" ht="40.5" customHeight="1">
      <c r="A3" s="617" t="s">
        <v>1253</v>
      </c>
      <c r="B3" s="617" t="s">
        <v>1254</v>
      </c>
      <c r="C3" s="617" t="s">
        <v>1255</v>
      </c>
      <c r="D3" s="617"/>
      <c r="E3" s="661" t="s">
        <v>1256</v>
      </c>
      <c r="F3" s="617" t="s">
        <v>1257</v>
      </c>
      <c r="G3" s="661" t="s">
        <v>1258</v>
      </c>
      <c r="H3" s="654" t="s">
        <v>153</v>
      </c>
      <c r="I3" s="652" t="s">
        <v>1259</v>
      </c>
      <c r="J3" s="649" t="s">
        <v>1260</v>
      </c>
      <c r="K3" s="659" t="s">
        <v>1261</v>
      </c>
      <c r="L3" s="652" t="s">
        <v>1259</v>
      </c>
      <c r="M3" s="649" t="s">
        <v>1260</v>
      </c>
      <c r="N3" s="659" t="s">
        <v>1261</v>
      </c>
      <c r="O3" s="652" t="s">
        <v>1259</v>
      </c>
      <c r="P3" s="659" t="s">
        <v>1261</v>
      </c>
      <c r="Q3" s="650" t="s">
        <v>1262</v>
      </c>
      <c r="R3" s="630" t="s">
        <v>1263</v>
      </c>
      <c r="S3" s="660" t="s">
        <v>1</v>
      </c>
      <c r="T3" s="660"/>
      <c r="U3" s="654" t="s">
        <v>2</v>
      </c>
      <c r="V3" s="654" t="s">
        <v>1264</v>
      </c>
      <c r="W3" s="617" t="s">
        <v>1265</v>
      </c>
      <c r="X3" s="617"/>
      <c r="Y3" s="655" t="s">
        <v>1266</v>
      </c>
      <c r="Z3" s="614"/>
      <c r="AA3" s="656" t="s">
        <v>1267</v>
      </c>
      <c r="AB3" s="657"/>
      <c r="AC3" s="655" t="s">
        <v>1268</v>
      </c>
      <c r="AD3" s="614"/>
      <c r="AE3" s="649" t="s">
        <v>1269</v>
      </c>
      <c r="AF3" s="650" t="s">
        <v>1270</v>
      </c>
      <c r="AG3" s="630" t="s">
        <v>1271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293" t="s">
        <v>3</v>
      </c>
      <c r="T4" s="293" t="s">
        <v>4</v>
      </c>
      <c r="U4" s="654"/>
      <c r="V4" s="654"/>
      <c r="W4" s="286" t="s">
        <v>1272</v>
      </c>
      <c r="X4" s="286" t="s">
        <v>1273</v>
      </c>
      <c r="Y4" s="284" t="s">
        <v>1274</v>
      </c>
      <c r="Z4" s="284" t="s">
        <v>1275</v>
      </c>
      <c r="AA4" s="658"/>
      <c r="AB4" s="657"/>
      <c r="AC4" s="284" t="s">
        <v>1276</v>
      </c>
      <c r="AD4" s="284" t="s">
        <v>1277</v>
      </c>
      <c r="AE4" s="649"/>
      <c r="AF4" s="650"/>
      <c r="AG4" s="630"/>
    </row>
    <row r="5" spans="1:33">
      <c r="A5" s="651" t="s">
        <v>1278</v>
      </c>
      <c r="B5" s="29" t="s">
        <v>15</v>
      </c>
      <c r="C5" s="653" t="s">
        <v>17</v>
      </c>
      <c r="D5" s="653"/>
      <c r="E5" s="29">
        <v>50.67</v>
      </c>
      <c r="F5" s="293">
        <v>1408</v>
      </c>
      <c r="G5" s="286">
        <f t="shared" ref="G5:G7" si="0">E5*F5</f>
        <v>71343.360000000001</v>
      </c>
      <c r="H5" s="33" t="s">
        <v>57</v>
      </c>
      <c r="I5" s="290">
        <v>15</v>
      </c>
      <c r="J5" s="31">
        <v>2000</v>
      </c>
      <c r="K5" s="12">
        <f t="shared" ref="K5:K68" si="1">J5/I5</f>
        <v>133.33333333333334</v>
      </c>
      <c r="L5" s="290">
        <v>15</v>
      </c>
      <c r="M5" s="13">
        <f t="shared" ref="M5:M7" si="2">F5/V5*60</f>
        <v>1920</v>
      </c>
      <c r="N5" s="12">
        <f t="shared" ref="N5:N68" si="3">M5/L5</f>
        <v>128</v>
      </c>
      <c r="O5" s="14">
        <f t="shared" ref="O5:O68" si="4">L5-I5</f>
        <v>0</v>
      </c>
      <c r="P5" s="15">
        <f t="shared" ref="P5:P68" si="5">N5-K5</f>
        <v>-5.3333333333333428</v>
      </c>
      <c r="Q5" s="285">
        <f t="shared" ref="Q5:Q68" si="6">N5/K5</f>
        <v>0.96</v>
      </c>
      <c r="R5" s="615">
        <f>Q8</f>
        <v>0.95721740700613878</v>
      </c>
      <c r="S5" s="34">
        <v>0.70833333333333337</v>
      </c>
      <c r="T5" s="34">
        <v>0.73888888888888893</v>
      </c>
      <c r="U5" s="286"/>
      <c r="V5" s="291">
        <f t="shared" ref="V5:V7" si="7">(T5-S5)*24*60</f>
        <v>44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5" si="8">M5-J5</f>
        <v>-80</v>
      </c>
      <c r="AF5" s="285">
        <f t="shared" ref="AF5:AF68" si="9">M5/J5</f>
        <v>0.96</v>
      </c>
      <c r="AG5" s="615">
        <f>AF8</f>
        <v>0.95721740700613889</v>
      </c>
    </row>
    <row r="6" spans="1:33">
      <c r="A6" s="652" t="s">
        <v>5</v>
      </c>
      <c r="B6" s="29" t="s">
        <v>15</v>
      </c>
      <c r="C6" s="653" t="s">
        <v>26</v>
      </c>
      <c r="D6" s="653"/>
      <c r="E6" s="29">
        <v>50.92</v>
      </c>
      <c r="F6" s="293">
        <v>2275</v>
      </c>
      <c r="G6" s="286">
        <f t="shared" si="0"/>
        <v>115843</v>
      </c>
      <c r="H6" s="33" t="s">
        <v>57</v>
      </c>
      <c r="I6" s="290">
        <v>15</v>
      </c>
      <c r="J6" s="31">
        <v>2000</v>
      </c>
      <c r="K6" s="12">
        <f t="shared" si="1"/>
        <v>133.33333333333334</v>
      </c>
      <c r="L6" s="290">
        <v>15</v>
      </c>
      <c r="M6" s="13">
        <f t="shared" si="2"/>
        <v>1922.5352112676039</v>
      </c>
      <c r="N6" s="12">
        <f t="shared" si="3"/>
        <v>128.16901408450693</v>
      </c>
      <c r="O6" s="14">
        <f t="shared" si="4"/>
        <v>0</v>
      </c>
      <c r="P6" s="15">
        <f t="shared" si="5"/>
        <v>-5.1643192488264162</v>
      </c>
      <c r="Q6" s="285">
        <f t="shared" si="6"/>
        <v>0.96126760563380187</v>
      </c>
      <c r="R6" s="615"/>
      <c r="S6" s="34">
        <v>0.74236111111111114</v>
      </c>
      <c r="T6" s="34">
        <v>0.79166666666666674</v>
      </c>
      <c r="U6" s="286">
        <f t="shared" ref="U6:U7" si="10">IF(S6=TIME(17,0,0),"",(S6-T5)*24*60)</f>
        <v>4.9999999999999822</v>
      </c>
      <c r="V6" s="291">
        <f t="shared" si="7"/>
        <v>71.000000000000071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-77.464788732396073</v>
      </c>
      <c r="AF6" s="285">
        <f t="shared" si="9"/>
        <v>0.96126760563380198</v>
      </c>
      <c r="AG6" s="615"/>
    </row>
    <row r="7" spans="1:33">
      <c r="A7" s="652" t="s">
        <v>5</v>
      </c>
      <c r="B7" s="29" t="s">
        <v>15</v>
      </c>
      <c r="C7" s="644" t="s">
        <v>31</v>
      </c>
      <c r="D7" s="645"/>
      <c r="E7" s="29">
        <v>50.98</v>
      </c>
      <c r="F7" s="293">
        <v>2471</v>
      </c>
      <c r="G7" s="286">
        <f t="shared" si="0"/>
        <v>125971.57999999999</v>
      </c>
      <c r="H7" s="33" t="s">
        <v>57</v>
      </c>
      <c r="I7" s="290">
        <v>16</v>
      </c>
      <c r="J7" s="31">
        <v>2000</v>
      </c>
      <c r="K7" s="12">
        <f t="shared" si="1"/>
        <v>125</v>
      </c>
      <c r="L7" s="290">
        <v>16</v>
      </c>
      <c r="M7" s="13">
        <f t="shared" si="2"/>
        <v>1900.7692307692296</v>
      </c>
      <c r="N7" s="12">
        <f t="shared" si="3"/>
        <v>118.79807692307685</v>
      </c>
      <c r="O7" s="14">
        <f t="shared" si="4"/>
        <v>0</v>
      </c>
      <c r="P7" s="15">
        <f t="shared" si="5"/>
        <v>-6.2019230769231513</v>
      </c>
      <c r="Q7" s="285">
        <f t="shared" si="6"/>
        <v>0.95038461538461483</v>
      </c>
      <c r="R7" s="615"/>
      <c r="S7" s="34">
        <v>0.79652777777777783</v>
      </c>
      <c r="T7" s="34">
        <v>0.85069444444444453</v>
      </c>
      <c r="U7" s="286">
        <f t="shared" si="10"/>
        <v>6.9999999999999751</v>
      </c>
      <c r="V7" s="291">
        <f t="shared" si="7"/>
        <v>78.000000000000043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-99.23076923077042</v>
      </c>
      <c r="AF7" s="285">
        <f t="shared" si="9"/>
        <v>0.95038461538461483</v>
      </c>
      <c r="AG7" s="615"/>
    </row>
    <row r="8" spans="1:33">
      <c r="A8" s="652" t="s">
        <v>5</v>
      </c>
      <c r="B8" s="29" t="s">
        <v>6</v>
      </c>
      <c r="C8" s="618"/>
      <c r="D8" s="618"/>
      <c r="E8" s="287"/>
      <c r="F8" s="30"/>
      <c r="G8" s="12"/>
      <c r="H8" s="293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1914.4348140122777</v>
      </c>
      <c r="N8" s="12">
        <f t="shared" si="3"/>
        <v>124.85444439210507</v>
      </c>
      <c r="O8" s="14">
        <f t="shared" si="4"/>
        <v>0</v>
      </c>
      <c r="P8" s="15">
        <f t="shared" si="5"/>
        <v>-5.5803382165905902</v>
      </c>
      <c r="Q8" s="285">
        <f t="shared" si="6"/>
        <v>0.95721740700613878</v>
      </c>
      <c r="R8" s="615"/>
      <c r="S8" s="34"/>
      <c r="T8" s="34"/>
      <c r="U8" s="286"/>
      <c r="V8" s="291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-85.565185987722316</v>
      </c>
      <c r="AF8" s="285">
        <f t="shared" si="9"/>
        <v>0.95721740700613889</v>
      </c>
      <c r="AG8" s="615"/>
    </row>
    <row r="9" spans="1:33" ht="15.75" customHeight="1">
      <c r="A9" s="648" t="s">
        <v>7</v>
      </c>
      <c r="B9" s="29" t="s">
        <v>19</v>
      </c>
      <c r="C9" s="644" t="s">
        <v>20</v>
      </c>
      <c r="D9" s="645"/>
      <c r="E9" s="29">
        <v>39.619999999999997</v>
      </c>
      <c r="F9" s="293">
        <v>4767</v>
      </c>
      <c r="G9" s="286">
        <f t="shared" ref="G9:G12" si="11">E9*F9</f>
        <v>188868.53999999998</v>
      </c>
      <c r="H9" s="33" t="s">
        <v>57</v>
      </c>
      <c r="I9" s="290">
        <v>19</v>
      </c>
      <c r="J9" s="31">
        <v>1500</v>
      </c>
      <c r="K9" s="12">
        <f t="shared" si="1"/>
        <v>78.94736842105263</v>
      </c>
      <c r="L9" s="290">
        <v>19</v>
      </c>
      <c r="M9" s="13">
        <f t="shared" ref="M9:M12" si="12">F9/V9*60</f>
        <v>1430.1000000000001</v>
      </c>
      <c r="N9" s="12">
        <f t="shared" si="3"/>
        <v>75.268421052631581</v>
      </c>
      <c r="O9" s="14">
        <f t="shared" si="4"/>
        <v>0</v>
      </c>
      <c r="P9" s="15">
        <f t="shared" si="5"/>
        <v>-3.6789473684210492</v>
      </c>
      <c r="Q9" s="285">
        <f t="shared" si="6"/>
        <v>0.95340000000000003</v>
      </c>
      <c r="R9" s="615">
        <f>Q13</f>
        <v>0.95675150266002884</v>
      </c>
      <c r="S9" s="34">
        <v>8.3333333333333329E-2</v>
      </c>
      <c r="T9" s="34">
        <v>0.22222222222222221</v>
      </c>
      <c r="U9" s="286"/>
      <c r="V9" s="291">
        <f t="shared" ref="V9:V12" si="13">(T9-S9)*24*60</f>
        <v>200</v>
      </c>
      <c r="W9" s="16">
        <f>T9</f>
        <v>0.22222222222222221</v>
      </c>
      <c r="X9" s="16">
        <f>S10</f>
        <v>0.2409722222222222</v>
      </c>
      <c r="Y9" s="16"/>
      <c r="Z9" s="16"/>
      <c r="AA9" s="617"/>
      <c r="AB9" s="617"/>
      <c r="AC9" s="35">
        <v>4</v>
      </c>
      <c r="AD9" s="18"/>
      <c r="AE9" s="14">
        <f t="shared" si="8"/>
        <v>-69.899999999999864</v>
      </c>
      <c r="AF9" s="285">
        <f t="shared" si="9"/>
        <v>0.95340000000000014</v>
      </c>
      <c r="AG9" s="615">
        <f>AF13</f>
        <v>0.95675150266002884</v>
      </c>
    </row>
    <row r="10" spans="1:33" ht="15.75" customHeight="1">
      <c r="A10" s="648" t="s">
        <v>7</v>
      </c>
      <c r="B10" s="29" t="s">
        <v>19</v>
      </c>
      <c r="C10" s="644" t="s">
        <v>83</v>
      </c>
      <c r="D10" s="645"/>
      <c r="E10" s="29">
        <v>39.46</v>
      </c>
      <c r="F10" s="293">
        <v>4735</v>
      </c>
      <c r="G10" s="286">
        <f t="shared" si="11"/>
        <v>186843.1</v>
      </c>
      <c r="H10" s="33" t="s">
        <v>57</v>
      </c>
      <c r="I10" s="290">
        <v>16</v>
      </c>
      <c r="J10" s="31">
        <v>1500</v>
      </c>
      <c r="K10" s="12">
        <f t="shared" si="1"/>
        <v>93.75</v>
      </c>
      <c r="L10" s="290">
        <v>16</v>
      </c>
      <c r="M10" s="13">
        <f t="shared" si="12"/>
        <v>1434.8484848484848</v>
      </c>
      <c r="N10" s="12">
        <f t="shared" si="3"/>
        <v>89.678030303030297</v>
      </c>
      <c r="O10" s="14">
        <f t="shared" si="4"/>
        <v>0</v>
      </c>
      <c r="P10" s="15">
        <f t="shared" si="5"/>
        <v>-4.0719696969697026</v>
      </c>
      <c r="Q10" s="285">
        <f t="shared" si="6"/>
        <v>0.95656565656565651</v>
      </c>
      <c r="R10" s="615"/>
      <c r="S10" s="34">
        <v>0.2409722222222222</v>
      </c>
      <c r="T10" s="34">
        <v>0.37847222222222221</v>
      </c>
      <c r="U10" s="286">
        <f t="shared" ref="U10:U12" si="14">IF(S10=TIME(17,0,0),"",(S10-T9)*24*60)</f>
        <v>26.999999999999986</v>
      </c>
      <c r="V10" s="291">
        <f t="shared" si="13"/>
        <v>198.00000000000003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-65.151515151515241</v>
      </c>
      <c r="AF10" s="285">
        <f t="shared" si="9"/>
        <v>0.95656565656565651</v>
      </c>
      <c r="AG10" s="615"/>
    </row>
    <row r="11" spans="1:33" ht="15.75" customHeight="1">
      <c r="A11" s="648" t="s">
        <v>7</v>
      </c>
      <c r="B11" s="29" t="s">
        <v>19</v>
      </c>
      <c r="C11" s="644" t="s">
        <v>21</v>
      </c>
      <c r="D11" s="645"/>
      <c r="E11" s="29">
        <v>39.799999999999997</v>
      </c>
      <c r="F11" s="293">
        <v>4000</v>
      </c>
      <c r="G11" s="286">
        <f t="shared" si="11"/>
        <v>159200</v>
      </c>
      <c r="H11" s="33">
        <v>2</v>
      </c>
      <c r="I11" s="290">
        <v>17</v>
      </c>
      <c r="J11" s="31">
        <v>1500</v>
      </c>
      <c r="K11" s="12">
        <f t="shared" si="1"/>
        <v>88.235294117647058</v>
      </c>
      <c r="L11" s="290">
        <v>17</v>
      </c>
      <c r="M11" s="13">
        <f t="shared" si="12"/>
        <v>1437.1257485029942</v>
      </c>
      <c r="N11" s="12">
        <f t="shared" si="3"/>
        <v>84.536808735470245</v>
      </c>
      <c r="O11" s="14">
        <f t="shared" si="4"/>
        <v>0</v>
      </c>
      <c r="P11" s="15">
        <f t="shared" si="5"/>
        <v>-3.6984853821768127</v>
      </c>
      <c r="Q11" s="285">
        <f t="shared" si="6"/>
        <v>0.95808383233532945</v>
      </c>
      <c r="R11" s="615"/>
      <c r="S11" s="34">
        <v>0.38263888888888886</v>
      </c>
      <c r="T11" s="34">
        <v>0.49861111111111106</v>
      </c>
      <c r="U11" s="286">
        <f t="shared" si="14"/>
        <v>5.9999999999999787</v>
      </c>
      <c r="V11" s="291">
        <f t="shared" si="13"/>
        <v>166.99999999999997</v>
      </c>
      <c r="W11" s="16">
        <f>T11</f>
        <v>0.49861111111111106</v>
      </c>
      <c r="X11" s="16">
        <f>S12</f>
        <v>0.5395833333333333</v>
      </c>
      <c r="Y11" s="16"/>
      <c r="Z11" s="16"/>
      <c r="AA11" s="617"/>
      <c r="AB11" s="617"/>
      <c r="AC11" s="35"/>
      <c r="AD11" s="18"/>
      <c r="AE11" s="14">
        <f t="shared" si="8"/>
        <v>-62.874251497005844</v>
      </c>
      <c r="AF11" s="285">
        <f t="shared" si="9"/>
        <v>0.95808383233532945</v>
      </c>
      <c r="AG11" s="615"/>
    </row>
    <row r="12" spans="1:33" ht="15.75" customHeight="1">
      <c r="A12" s="648" t="s">
        <v>7</v>
      </c>
      <c r="B12" s="29" t="s">
        <v>19</v>
      </c>
      <c r="C12" s="644" t="s">
        <v>21</v>
      </c>
      <c r="D12" s="645"/>
      <c r="E12" s="29">
        <v>39.799999999999997</v>
      </c>
      <c r="F12" s="293">
        <v>2757</v>
      </c>
      <c r="G12" s="286">
        <f t="shared" si="11"/>
        <v>109728.59999999999</v>
      </c>
      <c r="H12" s="33" t="s">
        <v>57</v>
      </c>
      <c r="I12" s="290">
        <v>17</v>
      </c>
      <c r="J12" s="31">
        <v>1500</v>
      </c>
      <c r="K12" s="12">
        <f t="shared" si="1"/>
        <v>88.235294117647058</v>
      </c>
      <c r="L12" s="290">
        <v>17</v>
      </c>
      <c r="M12" s="13">
        <f t="shared" si="12"/>
        <v>1438.4347826086946</v>
      </c>
      <c r="N12" s="12">
        <f t="shared" si="3"/>
        <v>84.613810741687914</v>
      </c>
      <c r="O12" s="14">
        <f t="shared" si="4"/>
        <v>0</v>
      </c>
      <c r="P12" s="15">
        <f t="shared" si="5"/>
        <v>-3.6214833759591443</v>
      </c>
      <c r="Q12" s="285">
        <f t="shared" si="6"/>
        <v>0.95895652173912971</v>
      </c>
      <c r="R12" s="615"/>
      <c r="S12" s="34">
        <v>0.5395833333333333</v>
      </c>
      <c r="T12" s="34">
        <v>0.61944444444444446</v>
      </c>
      <c r="U12" s="286">
        <f t="shared" si="14"/>
        <v>59.000000000000028</v>
      </c>
      <c r="V12" s="291">
        <f t="shared" si="13"/>
        <v>115.00000000000007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-61.565217391305396</v>
      </c>
      <c r="AF12" s="285">
        <f t="shared" si="9"/>
        <v>0.95895652173912971</v>
      </c>
      <c r="AG12" s="615"/>
    </row>
    <row r="13" spans="1:33" ht="16.5" customHeight="1">
      <c r="A13" s="648" t="s">
        <v>7</v>
      </c>
      <c r="B13" s="29" t="s">
        <v>6</v>
      </c>
      <c r="C13" s="618"/>
      <c r="D13" s="618"/>
      <c r="E13" s="287"/>
      <c r="F13" s="31"/>
      <c r="G13" s="13"/>
      <c r="H13" s="293"/>
      <c r="I13" s="23">
        <v>17.25</v>
      </c>
      <c r="J13" s="31">
        <v>1500</v>
      </c>
      <c r="K13" s="12">
        <f t="shared" si="1"/>
        <v>86.956521739130437</v>
      </c>
      <c r="L13" s="23">
        <v>17.25</v>
      </c>
      <c r="M13" s="13">
        <f>AVERAGE(M9:M12)</f>
        <v>1435.1272539900433</v>
      </c>
      <c r="N13" s="12">
        <f t="shared" si="3"/>
        <v>83.195782840002508</v>
      </c>
      <c r="O13" s="14">
        <f t="shared" si="4"/>
        <v>0</v>
      </c>
      <c r="P13" s="15">
        <f t="shared" si="5"/>
        <v>-3.7607388991279294</v>
      </c>
      <c r="Q13" s="285">
        <f t="shared" si="6"/>
        <v>0.95675150266002884</v>
      </c>
      <c r="R13" s="615"/>
      <c r="S13" s="34"/>
      <c r="T13" s="34"/>
      <c r="U13" s="12"/>
      <c r="V13" s="291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-64.8727460099567</v>
      </c>
      <c r="AF13" s="285">
        <f t="shared" si="9"/>
        <v>0.95675150266002884</v>
      </c>
      <c r="AG13" s="615"/>
    </row>
    <row r="14" spans="1:33" ht="16.5" customHeight="1">
      <c r="A14" s="646" t="s">
        <v>8</v>
      </c>
      <c r="B14" s="293" t="s">
        <v>22</v>
      </c>
      <c r="C14" s="640" t="s">
        <v>23</v>
      </c>
      <c r="D14" s="640"/>
      <c r="E14" s="29">
        <v>41</v>
      </c>
      <c r="F14" s="293">
        <v>1922</v>
      </c>
      <c r="G14" s="286">
        <f t="shared" ref="G14:G20" si="15">E14*F14</f>
        <v>78802</v>
      </c>
      <c r="H14" s="33" t="s">
        <v>57</v>
      </c>
      <c r="I14" s="290">
        <v>26</v>
      </c>
      <c r="J14" s="31">
        <v>1500</v>
      </c>
      <c r="K14" s="12">
        <f t="shared" si="1"/>
        <v>57.692307692307693</v>
      </c>
      <c r="L14" s="290">
        <v>26</v>
      </c>
      <c r="M14" s="13">
        <f t="shared" ref="M14:M20" si="16">F14/V14*60</f>
        <v>1441.4999999999998</v>
      </c>
      <c r="N14" s="12">
        <f t="shared" si="3"/>
        <v>55.442307692307686</v>
      </c>
      <c r="O14" s="14">
        <f t="shared" si="4"/>
        <v>0</v>
      </c>
      <c r="P14" s="15">
        <f t="shared" si="5"/>
        <v>-2.2500000000000071</v>
      </c>
      <c r="Q14" s="285">
        <f t="shared" si="6"/>
        <v>0.96099999999999985</v>
      </c>
      <c r="R14" s="615">
        <f>Q21</f>
        <v>0.96149272784980033</v>
      </c>
      <c r="S14" s="34">
        <v>8.3333333333333329E-2</v>
      </c>
      <c r="T14" s="34">
        <v>0.1388888888888889</v>
      </c>
      <c r="U14" s="286"/>
      <c r="V14" s="291">
        <f t="shared" ref="V14:V20" si="17">(T14-S14)*24*60</f>
        <v>80.000000000000014</v>
      </c>
      <c r="W14" s="16">
        <f>T14</f>
        <v>0.1388888888888889</v>
      </c>
      <c r="X14" s="16">
        <f>S15</f>
        <v>0.15833333333333333</v>
      </c>
      <c r="Y14" s="21"/>
      <c r="Z14" s="21"/>
      <c r="AA14" s="617"/>
      <c r="AB14" s="617"/>
      <c r="AC14" s="35">
        <v>7</v>
      </c>
      <c r="AD14" s="18"/>
      <c r="AE14" s="14">
        <f t="shared" si="8"/>
        <v>-58.500000000000227</v>
      </c>
      <c r="AF14" s="285">
        <f t="shared" si="9"/>
        <v>0.96099999999999985</v>
      </c>
      <c r="AG14" s="615">
        <f>AF21</f>
        <v>0.96149272784980044</v>
      </c>
    </row>
    <row r="15" spans="1:33" ht="16.5" customHeight="1">
      <c r="A15" s="647" t="s">
        <v>8</v>
      </c>
      <c r="B15" s="293" t="s">
        <v>22</v>
      </c>
      <c r="C15" s="640" t="s">
        <v>87</v>
      </c>
      <c r="D15" s="640"/>
      <c r="E15" s="29">
        <v>38.619999999999997</v>
      </c>
      <c r="F15" s="293">
        <v>2363</v>
      </c>
      <c r="G15" s="286">
        <f t="shared" si="15"/>
        <v>91259.06</v>
      </c>
      <c r="H15" s="33" t="s">
        <v>57</v>
      </c>
      <c r="I15" s="290">
        <v>24</v>
      </c>
      <c r="J15" s="31">
        <v>1500</v>
      </c>
      <c r="K15" s="12">
        <f t="shared" si="1"/>
        <v>62.5</v>
      </c>
      <c r="L15" s="290">
        <v>24</v>
      </c>
      <c r="M15" s="13">
        <f t="shared" si="16"/>
        <v>1432.1212121212125</v>
      </c>
      <c r="N15" s="12">
        <f t="shared" si="3"/>
        <v>59.671717171717184</v>
      </c>
      <c r="O15" s="14">
        <f t="shared" si="4"/>
        <v>0</v>
      </c>
      <c r="P15" s="15">
        <f t="shared" si="5"/>
        <v>-2.8282828282828163</v>
      </c>
      <c r="Q15" s="285">
        <f t="shared" si="6"/>
        <v>0.9547474747474749</v>
      </c>
      <c r="R15" s="615"/>
      <c r="S15" s="34">
        <v>0.15833333333333333</v>
      </c>
      <c r="T15" s="34">
        <v>0.2270833333333333</v>
      </c>
      <c r="U15" s="286">
        <f t="shared" ref="U15:U20" si="18">IF(S15=TIME(17,0,0),"",(S15-T14)*24*60)</f>
        <v>27.999999999999979</v>
      </c>
      <c r="V15" s="291">
        <f t="shared" si="17"/>
        <v>98.999999999999972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-67.878787878787534</v>
      </c>
      <c r="AF15" s="285">
        <f t="shared" si="9"/>
        <v>0.95474747474747501</v>
      </c>
      <c r="AG15" s="615"/>
    </row>
    <row r="16" spans="1:33" ht="16.5" customHeight="1">
      <c r="A16" s="647" t="s">
        <v>8</v>
      </c>
      <c r="B16" s="293" t="s">
        <v>15</v>
      </c>
      <c r="C16" s="640" t="s">
        <v>86</v>
      </c>
      <c r="D16" s="640"/>
      <c r="E16" s="29">
        <v>37.03</v>
      </c>
      <c r="F16" s="293">
        <v>2968</v>
      </c>
      <c r="G16" s="286">
        <f t="shared" si="15"/>
        <v>109905.04000000001</v>
      </c>
      <c r="H16" s="33" t="s">
        <v>57</v>
      </c>
      <c r="I16" s="290">
        <v>13</v>
      </c>
      <c r="J16" s="31">
        <v>1500</v>
      </c>
      <c r="K16" s="12">
        <f t="shared" si="1"/>
        <v>115.38461538461539</v>
      </c>
      <c r="L16" s="290">
        <v>13</v>
      </c>
      <c r="M16" s="13">
        <f t="shared" si="16"/>
        <v>1436.1290322580646</v>
      </c>
      <c r="N16" s="12">
        <f t="shared" si="3"/>
        <v>110.47146401985113</v>
      </c>
      <c r="O16" s="14">
        <f t="shared" si="4"/>
        <v>0</v>
      </c>
      <c r="P16" s="15">
        <f t="shared" si="5"/>
        <v>-4.9131513647642606</v>
      </c>
      <c r="Q16" s="285">
        <f t="shared" si="6"/>
        <v>0.95741935483870977</v>
      </c>
      <c r="R16" s="615"/>
      <c r="S16" s="34">
        <v>0.23263888888888887</v>
      </c>
      <c r="T16" s="34">
        <v>0.31874999999999998</v>
      </c>
      <c r="U16" s="286">
        <f t="shared" si="18"/>
        <v>8.0000000000000107</v>
      </c>
      <c r="V16" s="291">
        <f t="shared" si="17"/>
        <v>123.99999999999999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-63.870967741935374</v>
      </c>
      <c r="AF16" s="285">
        <f t="shared" si="9"/>
        <v>0.95741935483870977</v>
      </c>
      <c r="AG16" s="615"/>
    </row>
    <row r="17" spans="1:33" ht="16.5" customHeight="1">
      <c r="A17" s="647" t="s">
        <v>8</v>
      </c>
      <c r="B17" s="293" t="s">
        <v>19</v>
      </c>
      <c r="C17" s="640" t="s">
        <v>267</v>
      </c>
      <c r="D17" s="640"/>
      <c r="E17" s="29">
        <v>39.520000000000003</v>
      </c>
      <c r="F17" s="293">
        <v>4121</v>
      </c>
      <c r="G17" s="286">
        <f t="shared" si="15"/>
        <v>162861.92000000001</v>
      </c>
      <c r="H17" s="33" t="s">
        <v>57</v>
      </c>
      <c r="I17" s="290">
        <v>19</v>
      </c>
      <c r="J17" s="31">
        <v>1500</v>
      </c>
      <c r="K17" s="12">
        <f t="shared" si="1"/>
        <v>78.94736842105263</v>
      </c>
      <c r="L17" s="290">
        <v>19</v>
      </c>
      <c r="M17" s="13">
        <f t="shared" si="16"/>
        <v>1437.5581395348834</v>
      </c>
      <c r="N17" s="12">
        <f t="shared" si="3"/>
        <v>75.660954712362283</v>
      </c>
      <c r="O17" s="14">
        <f t="shared" si="4"/>
        <v>0</v>
      </c>
      <c r="P17" s="15">
        <f t="shared" si="5"/>
        <v>-3.2864137086903469</v>
      </c>
      <c r="Q17" s="285">
        <f t="shared" si="6"/>
        <v>0.95837209302325566</v>
      </c>
      <c r="R17" s="615"/>
      <c r="S17" s="34">
        <v>0.32430555555555551</v>
      </c>
      <c r="T17" s="34">
        <v>0.44374999999999998</v>
      </c>
      <c r="U17" s="286">
        <f t="shared" si="18"/>
        <v>7.9999999999999716</v>
      </c>
      <c r="V17" s="291">
        <f t="shared" si="17"/>
        <v>172.00000000000003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-62.441860465116633</v>
      </c>
      <c r="AF17" s="285">
        <f t="shared" si="9"/>
        <v>0.95837209302325554</v>
      </c>
      <c r="AG17" s="615"/>
    </row>
    <row r="18" spans="1:33" ht="16.5" customHeight="1">
      <c r="A18" s="647" t="s">
        <v>8</v>
      </c>
      <c r="B18" s="293" t="s">
        <v>15</v>
      </c>
      <c r="C18" s="640" t="s">
        <v>25</v>
      </c>
      <c r="D18" s="640"/>
      <c r="E18" s="29">
        <v>53.68</v>
      </c>
      <c r="F18" s="293">
        <v>1059</v>
      </c>
      <c r="G18" s="286">
        <f t="shared" si="15"/>
        <v>56847.12</v>
      </c>
      <c r="H18" s="33" t="s">
        <v>57</v>
      </c>
      <c r="I18" s="290">
        <v>16</v>
      </c>
      <c r="J18" s="31">
        <v>1500</v>
      </c>
      <c r="K18" s="12">
        <f t="shared" si="1"/>
        <v>93.75</v>
      </c>
      <c r="L18" s="290">
        <v>16</v>
      </c>
      <c r="M18" s="13">
        <f t="shared" si="16"/>
        <v>1444.090909090909</v>
      </c>
      <c r="N18" s="12">
        <f t="shared" si="3"/>
        <v>90.255681818181813</v>
      </c>
      <c r="O18" s="14">
        <f t="shared" si="4"/>
        <v>0</v>
      </c>
      <c r="P18" s="15">
        <f t="shared" si="5"/>
        <v>-3.494318181818187</v>
      </c>
      <c r="Q18" s="285">
        <f t="shared" si="6"/>
        <v>0.96272727272727265</v>
      </c>
      <c r="R18" s="615"/>
      <c r="S18" s="34">
        <v>0.70833333333333337</v>
      </c>
      <c r="T18" s="34">
        <v>0.73888888888888893</v>
      </c>
      <c r="U18" s="286" t="str">
        <f t="shared" si="18"/>
        <v/>
      </c>
      <c r="V18" s="291">
        <f t="shared" si="17"/>
        <v>44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-55.909090909090992</v>
      </c>
      <c r="AF18" s="285">
        <f t="shared" si="9"/>
        <v>0.96272727272727265</v>
      </c>
      <c r="AG18" s="615"/>
    </row>
    <row r="19" spans="1:33" ht="16.5" customHeight="1">
      <c r="A19" s="647" t="s">
        <v>8</v>
      </c>
      <c r="B19" s="293" t="s">
        <v>15</v>
      </c>
      <c r="C19" s="288" t="s">
        <v>18</v>
      </c>
      <c r="D19" s="289"/>
      <c r="E19" s="29">
        <v>52.86</v>
      </c>
      <c r="F19" s="293">
        <v>1221</v>
      </c>
      <c r="G19" s="286">
        <f t="shared" si="15"/>
        <v>64542.06</v>
      </c>
      <c r="H19" s="33" t="s">
        <v>57</v>
      </c>
      <c r="I19" s="290">
        <v>16</v>
      </c>
      <c r="J19" s="31">
        <v>2000</v>
      </c>
      <c r="K19" s="12">
        <f t="shared" si="1"/>
        <v>125</v>
      </c>
      <c r="L19" s="290">
        <v>16</v>
      </c>
      <c r="M19" s="13">
        <f t="shared" si="16"/>
        <v>1927.8947368421038</v>
      </c>
      <c r="N19" s="12">
        <f t="shared" si="3"/>
        <v>120.49342105263149</v>
      </c>
      <c r="O19" s="14">
        <f t="shared" si="4"/>
        <v>0</v>
      </c>
      <c r="P19" s="15">
        <f t="shared" si="5"/>
        <v>-4.5065789473685101</v>
      </c>
      <c r="Q19" s="285">
        <f t="shared" si="6"/>
        <v>0.96394736842105189</v>
      </c>
      <c r="R19" s="615"/>
      <c r="S19" s="34">
        <v>0.74305555555555558</v>
      </c>
      <c r="T19" s="34">
        <v>0.76944444444444449</v>
      </c>
      <c r="U19" s="286">
        <f t="shared" si="18"/>
        <v>5.9999999999999787</v>
      </c>
      <c r="V19" s="291">
        <f t="shared" si="17"/>
        <v>38.000000000000028</v>
      </c>
      <c r="W19" s="16"/>
      <c r="X19" s="16"/>
      <c r="Y19" s="19"/>
      <c r="Z19" s="19"/>
      <c r="AA19" s="281"/>
      <c r="AB19" s="282"/>
      <c r="AC19" s="35"/>
      <c r="AD19" s="18"/>
      <c r="AE19" s="14">
        <f t="shared" si="8"/>
        <v>-72.105263157896161</v>
      </c>
      <c r="AF19" s="285">
        <f t="shared" si="9"/>
        <v>0.96394736842105189</v>
      </c>
      <c r="AG19" s="615"/>
    </row>
    <row r="20" spans="1:33" ht="16.5" customHeight="1">
      <c r="A20" s="647" t="s">
        <v>8</v>
      </c>
      <c r="B20" s="293" t="s">
        <v>15</v>
      </c>
      <c r="C20" s="288" t="s">
        <v>16</v>
      </c>
      <c r="D20" s="289"/>
      <c r="E20" s="29">
        <v>50.67</v>
      </c>
      <c r="F20" s="293">
        <v>1518</v>
      </c>
      <c r="G20" s="286">
        <f t="shared" si="15"/>
        <v>76917.06</v>
      </c>
      <c r="H20" s="33" t="s">
        <v>57</v>
      </c>
      <c r="I20" s="290">
        <v>17</v>
      </c>
      <c r="J20" s="31">
        <v>2000</v>
      </c>
      <c r="K20" s="12">
        <f t="shared" si="1"/>
        <v>117.64705882352941</v>
      </c>
      <c r="L20" s="290">
        <v>17</v>
      </c>
      <c r="M20" s="13">
        <f t="shared" si="16"/>
        <v>1937.872340425532</v>
      </c>
      <c r="N20" s="12">
        <f t="shared" si="3"/>
        <v>113.99249061326658</v>
      </c>
      <c r="O20" s="14">
        <f t="shared" si="4"/>
        <v>0</v>
      </c>
      <c r="P20" s="15">
        <f t="shared" si="5"/>
        <v>-3.6545682102628234</v>
      </c>
      <c r="Q20" s="285">
        <f t="shared" si="6"/>
        <v>0.96893617021276601</v>
      </c>
      <c r="R20" s="615"/>
      <c r="S20" s="34">
        <v>0.77430555555555558</v>
      </c>
      <c r="T20" s="34">
        <v>0.80694444444444446</v>
      </c>
      <c r="U20" s="286">
        <f t="shared" si="18"/>
        <v>6.9999999999999751</v>
      </c>
      <c r="V20" s="291">
        <f t="shared" si="17"/>
        <v>46.999999999999993</v>
      </c>
      <c r="W20" s="16"/>
      <c r="X20" s="16"/>
      <c r="Y20" s="19"/>
      <c r="Z20" s="19"/>
      <c r="AA20" s="281"/>
      <c r="AB20" s="282"/>
      <c r="AC20" s="35"/>
      <c r="AD20" s="18"/>
      <c r="AE20" s="14">
        <f t="shared" si="8"/>
        <v>-62.127659574467998</v>
      </c>
      <c r="AF20" s="285">
        <f t="shared" si="9"/>
        <v>0.96893617021276601</v>
      </c>
      <c r="AG20" s="615"/>
    </row>
    <row r="21" spans="1:33" ht="16.5" customHeight="1">
      <c r="A21" s="647" t="s">
        <v>8</v>
      </c>
      <c r="B21" s="29" t="s">
        <v>6</v>
      </c>
      <c r="C21" s="618"/>
      <c r="D21" s="618"/>
      <c r="E21" s="287"/>
      <c r="F21" s="30"/>
      <c r="G21" s="12"/>
      <c r="H21" s="293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1579.5951957532436</v>
      </c>
      <c r="N21" s="12">
        <f t="shared" si="3"/>
        <v>84.405850154753466</v>
      </c>
      <c r="O21" s="14">
        <f t="shared" si="4"/>
        <v>0</v>
      </c>
      <c r="P21" s="15">
        <f t="shared" si="5"/>
        <v>-3.3804093872312677</v>
      </c>
      <c r="Q21" s="285">
        <f t="shared" si="6"/>
        <v>0.96149272784980033</v>
      </c>
      <c r="R21" s="615"/>
      <c r="S21" s="34"/>
      <c r="T21" s="34"/>
      <c r="U21" s="286"/>
      <c r="V21" s="291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-63.261947103899274</v>
      </c>
      <c r="AF21" s="285">
        <f t="shared" si="9"/>
        <v>0.96149272784980044</v>
      </c>
      <c r="AG21" s="615"/>
    </row>
    <row r="22" spans="1:33" ht="15.75" customHeight="1">
      <c r="A22" s="642" t="s">
        <v>9</v>
      </c>
      <c r="B22" s="29" t="s">
        <v>15</v>
      </c>
      <c r="C22" s="640" t="s">
        <v>24</v>
      </c>
      <c r="D22" s="640"/>
      <c r="E22" s="29">
        <v>54.09</v>
      </c>
      <c r="F22" s="293">
        <v>1258</v>
      </c>
      <c r="G22" s="286">
        <f t="shared" ref="G22:G27" si="19">E22*F22</f>
        <v>68045.22</v>
      </c>
      <c r="H22" s="33" t="s">
        <v>57</v>
      </c>
      <c r="I22" s="290">
        <v>17</v>
      </c>
      <c r="J22" s="31">
        <v>1500</v>
      </c>
      <c r="K22" s="12">
        <f t="shared" si="1"/>
        <v>88.235294117647058</v>
      </c>
      <c r="L22" s="290">
        <v>17</v>
      </c>
      <c r="M22" s="13">
        <f t="shared" ref="M22:M27" si="20">F22/V22*60</f>
        <v>1451.5384615384612</v>
      </c>
      <c r="N22" s="12">
        <f t="shared" si="3"/>
        <v>85.384615384615358</v>
      </c>
      <c r="O22" s="14">
        <f t="shared" si="4"/>
        <v>0</v>
      </c>
      <c r="P22" s="15">
        <f t="shared" si="5"/>
        <v>-2.8506787330316996</v>
      </c>
      <c r="Q22" s="285">
        <f t="shared" si="6"/>
        <v>0.96769230769230741</v>
      </c>
      <c r="R22" s="615">
        <f>Q28</f>
        <v>0.9582869937620867</v>
      </c>
      <c r="S22" s="34">
        <v>0.20833333333333334</v>
      </c>
      <c r="T22" s="34">
        <v>0.24444444444444446</v>
      </c>
      <c r="U22" s="286"/>
      <c r="V22" s="291">
        <f t="shared" ref="V22:V27" si="21">(T22-S22)*24*60</f>
        <v>52.000000000000014</v>
      </c>
      <c r="W22" s="21"/>
      <c r="X22" s="21"/>
      <c r="Y22" s="21"/>
      <c r="Z22" s="21"/>
      <c r="AA22" s="617"/>
      <c r="AB22" s="617"/>
      <c r="AC22" s="35">
        <v>6</v>
      </c>
      <c r="AD22" s="18"/>
      <c r="AE22" s="14">
        <f t="shared" si="8"/>
        <v>-48.461538461538794</v>
      </c>
      <c r="AF22" s="285">
        <f t="shared" si="9"/>
        <v>0.96769230769230752</v>
      </c>
      <c r="AG22" s="615">
        <f>AF28</f>
        <v>0.9582869937620867</v>
      </c>
    </row>
    <row r="23" spans="1:33" ht="15.75" customHeight="1">
      <c r="A23" s="643" t="s">
        <v>9</v>
      </c>
      <c r="B23" s="29" t="s">
        <v>15</v>
      </c>
      <c r="C23" s="640" t="s">
        <v>28</v>
      </c>
      <c r="D23" s="640"/>
      <c r="E23" s="29">
        <v>50.67</v>
      </c>
      <c r="F23" s="293">
        <v>1843</v>
      </c>
      <c r="G23" s="286">
        <f t="shared" si="19"/>
        <v>93384.81</v>
      </c>
      <c r="H23" s="33" t="s">
        <v>57</v>
      </c>
      <c r="I23" s="290">
        <v>17</v>
      </c>
      <c r="J23" s="31">
        <v>2000</v>
      </c>
      <c r="K23" s="12">
        <f t="shared" si="1"/>
        <v>117.64705882352941</v>
      </c>
      <c r="L23" s="290">
        <v>17</v>
      </c>
      <c r="M23" s="13">
        <f t="shared" si="20"/>
        <v>1906.5517241379312</v>
      </c>
      <c r="N23" s="12">
        <f t="shared" si="3"/>
        <v>112.1501014198783</v>
      </c>
      <c r="O23" s="14">
        <f t="shared" si="4"/>
        <v>0</v>
      </c>
      <c r="P23" s="15">
        <f t="shared" si="5"/>
        <v>-5.4969574036511091</v>
      </c>
      <c r="Q23" s="285">
        <f t="shared" si="6"/>
        <v>0.95327586206896553</v>
      </c>
      <c r="R23" s="615"/>
      <c r="S23" s="34">
        <v>0.24861111111111114</v>
      </c>
      <c r="T23" s="34">
        <v>0.28888888888888892</v>
      </c>
      <c r="U23" s="286">
        <f t="shared" ref="U23:U27" si="22">IF(S23=TIME(17,0,0),"",(S23-T22)*24*60)</f>
        <v>6.0000000000000187</v>
      </c>
      <c r="V23" s="291">
        <f t="shared" si="21"/>
        <v>57.999999999999993</v>
      </c>
      <c r="W23" s="16"/>
      <c r="X23" s="286"/>
      <c r="Y23" s="286"/>
      <c r="Z23" s="286"/>
      <c r="AA23" s="617"/>
      <c r="AB23" s="617"/>
      <c r="AC23" s="35"/>
      <c r="AD23" s="18"/>
      <c r="AE23" s="14">
        <f t="shared" si="8"/>
        <v>-93.44827586206884</v>
      </c>
      <c r="AF23" s="285">
        <f t="shared" si="9"/>
        <v>0.95327586206896553</v>
      </c>
      <c r="AG23" s="615"/>
    </row>
    <row r="24" spans="1:33" ht="15.75" customHeight="1">
      <c r="A24" s="643" t="s">
        <v>9</v>
      </c>
      <c r="B24" s="29" t="s">
        <v>15</v>
      </c>
      <c r="C24" s="640" t="s">
        <v>29</v>
      </c>
      <c r="D24" s="640"/>
      <c r="E24" s="29">
        <v>57.73</v>
      </c>
      <c r="F24" s="293">
        <v>2445</v>
      </c>
      <c r="G24" s="286">
        <f t="shared" si="19"/>
        <v>141149.85</v>
      </c>
      <c r="H24" s="33" t="s">
        <v>57</v>
      </c>
      <c r="I24" s="290">
        <v>14</v>
      </c>
      <c r="J24" s="31">
        <v>2000</v>
      </c>
      <c r="K24" s="12">
        <f t="shared" si="1"/>
        <v>142.85714285714286</v>
      </c>
      <c r="L24" s="290">
        <v>14</v>
      </c>
      <c r="M24" s="13">
        <f t="shared" si="20"/>
        <v>1905.1948051948059</v>
      </c>
      <c r="N24" s="12">
        <f t="shared" si="3"/>
        <v>136.08534322820043</v>
      </c>
      <c r="O24" s="14">
        <f t="shared" si="4"/>
        <v>0</v>
      </c>
      <c r="P24" s="15">
        <f t="shared" si="5"/>
        <v>-6.771799628942432</v>
      </c>
      <c r="Q24" s="285">
        <f t="shared" si="6"/>
        <v>0.952597402597403</v>
      </c>
      <c r="R24" s="615"/>
      <c r="S24" s="34">
        <v>0.29236111111111113</v>
      </c>
      <c r="T24" s="34">
        <v>0.34583333333333333</v>
      </c>
      <c r="U24" s="286">
        <f t="shared" si="22"/>
        <v>4.9999999999999822</v>
      </c>
      <c r="V24" s="291">
        <f t="shared" si="21"/>
        <v>76.999999999999972</v>
      </c>
      <c r="W24" s="16"/>
      <c r="X24" s="286"/>
      <c r="Y24" s="286"/>
      <c r="Z24" s="286"/>
      <c r="AA24" s="617"/>
      <c r="AB24" s="617"/>
      <c r="AC24" s="35"/>
      <c r="AD24" s="18"/>
      <c r="AE24" s="14">
        <f t="shared" si="8"/>
        <v>-94.805194805194105</v>
      </c>
      <c r="AF24" s="285">
        <f t="shared" si="9"/>
        <v>0.952597402597403</v>
      </c>
      <c r="AG24" s="615"/>
    </row>
    <row r="25" spans="1:33" ht="15.75" customHeight="1">
      <c r="A25" s="643" t="s">
        <v>9</v>
      </c>
      <c r="B25" s="29" t="s">
        <v>15</v>
      </c>
      <c r="C25" s="640" t="s">
        <v>80</v>
      </c>
      <c r="D25" s="640"/>
      <c r="E25" s="29">
        <v>53.27</v>
      </c>
      <c r="F25" s="293">
        <v>1703</v>
      </c>
      <c r="G25" s="286">
        <f t="shared" si="19"/>
        <v>90718.810000000012</v>
      </c>
      <c r="H25" s="33" t="s">
        <v>57</v>
      </c>
      <c r="I25" s="290">
        <v>16</v>
      </c>
      <c r="J25" s="31">
        <v>2000</v>
      </c>
      <c r="K25" s="12">
        <f t="shared" si="1"/>
        <v>125</v>
      </c>
      <c r="L25" s="290">
        <v>16</v>
      </c>
      <c r="M25" s="13">
        <f t="shared" si="20"/>
        <v>1927.9245283018877</v>
      </c>
      <c r="N25" s="12">
        <f t="shared" si="3"/>
        <v>120.49528301886798</v>
      </c>
      <c r="O25" s="14">
        <f t="shared" si="4"/>
        <v>0</v>
      </c>
      <c r="P25" s="15">
        <f t="shared" si="5"/>
        <v>-4.5047169811320202</v>
      </c>
      <c r="Q25" s="285">
        <f t="shared" si="6"/>
        <v>0.96396226415094388</v>
      </c>
      <c r="R25" s="615"/>
      <c r="S25" s="34">
        <v>0.35</v>
      </c>
      <c r="T25" s="34">
        <v>0.38680555555555551</v>
      </c>
      <c r="U25" s="286">
        <f t="shared" si="22"/>
        <v>5.9999999999999787</v>
      </c>
      <c r="V25" s="291">
        <f t="shared" si="21"/>
        <v>52.999999999999972</v>
      </c>
      <c r="W25" s="16"/>
      <c r="X25" s="286"/>
      <c r="Y25" s="286"/>
      <c r="Z25" s="286"/>
      <c r="AA25" s="617"/>
      <c r="AB25" s="617"/>
      <c r="AC25" s="35"/>
      <c r="AD25" s="18"/>
      <c r="AE25" s="14">
        <f t="shared" si="8"/>
        <v>-72.075471698112324</v>
      </c>
      <c r="AF25" s="285">
        <f t="shared" si="9"/>
        <v>0.96396226415094388</v>
      </c>
      <c r="AG25" s="615"/>
    </row>
    <row r="26" spans="1:33" ht="15.75" customHeight="1">
      <c r="A26" s="643" t="s">
        <v>9</v>
      </c>
      <c r="B26" s="29" t="s">
        <v>15</v>
      </c>
      <c r="C26" s="640" t="s">
        <v>30</v>
      </c>
      <c r="D26" s="640"/>
      <c r="E26" s="29">
        <v>50.49</v>
      </c>
      <c r="F26" s="293">
        <v>1984</v>
      </c>
      <c r="G26" s="286">
        <f t="shared" si="19"/>
        <v>100172.16</v>
      </c>
      <c r="H26" s="33" t="s">
        <v>57</v>
      </c>
      <c r="I26" s="290">
        <v>15</v>
      </c>
      <c r="J26" s="31">
        <v>2000</v>
      </c>
      <c r="K26" s="12">
        <f t="shared" si="1"/>
        <v>133.33333333333334</v>
      </c>
      <c r="L26" s="290">
        <v>15</v>
      </c>
      <c r="M26" s="13">
        <f t="shared" si="20"/>
        <v>1920.0000000000018</v>
      </c>
      <c r="N26" s="12">
        <f t="shared" si="3"/>
        <v>128.00000000000011</v>
      </c>
      <c r="O26" s="14">
        <f t="shared" si="4"/>
        <v>0</v>
      </c>
      <c r="P26" s="15">
        <f t="shared" si="5"/>
        <v>-5.3333333333332291</v>
      </c>
      <c r="Q26" s="285">
        <f t="shared" si="6"/>
        <v>0.96000000000000074</v>
      </c>
      <c r="R26" s="615"/>
      <c r="S26" s="34">
        <v>0.70833333333333337</v>
      </c>
      <c r="T26" s="34">
        <v>0.75138888888888888</v>
      </c>
      <c r="U26" s="286" t="str">
        <f t="shared" si="22"/>
        <v/>
      </c>
      <c r="V26" s="291">
        <f t="shared" si="21"/>
        <v>61.999999999999943</v>
      </c>
      <c r="W26" s="16"/>
      <c r="X26" s="16"/>
      <c r="Y26" s="286"/>
      <c r="Z26" s="286"/>
      <c r="AA26" s="617"/>
      <c r="AB26" s="617"/>
      <c r="AC26" s="35"/>
      <c r="AD26" s="18"/>
      <c r="AE26" s="14">
        <f t="shared" si="8"/>
        <v>-79.999999999998181</v>
      </c>
      <c r="AF26" s="285">
        <f t="shared" si="9"/>
        <v>0.96000000000000096</v>
      </c>
      <c r="AG26" s="615"/>
    </row>
    <row r="27" spans="1:33" ht="15.75" customHeight="1">
      <c r="A27" s="643" t="s">
        <v>9</v>
      </c>
      <c r="B27" s="29" t="s">
        <v>15</v>
      </c>
      <c r="C27" s="640" t="s">
        <v>82</v>
      </c>
      <c r="D27" s="640"/>
      <c r="E27" s="29">
        <v>51.06</v>
      </c>
      <c r="F27" s="293">
        <v>3500</v>
      </c>
      <c r="G27" s="286">
        <f t="shared" si="19"/>
        <v>178710</v>
      </c>
      <c r="H27" s="33" t="s">
        <v>57</v>
      </c>
      <c r="I27" s="290">
        <v>13</v>
      </c>
      <c r="J27" s="31">
        <v>2000</v>
      </c>
      <c r="K27" s="12">
        <f t="shared" si="1"/>
        <v>153.84615384615384</v>
      </c>
      <c r="L27" s="290">
        <v>13</v>
      </c>
      <c r="M27" s="13">
        <f t="shared" si="20"/>
        <v>1909.0909090909104</v>
      </c>
      <c r="N27" s="12">
        <f t="shared" si="3"/>
        <v>146.85314685314694</v>
      </c>
      <c r="O27" s="14">
        <f t="shared" si="4"/>
        <v>0</v>
      </c>
      <c r="P27" s="15">
        <f t="shared" si="5"/>
        <v>-6.993006993006901</v>
      </c>
      <c r="Q27" s="285">
        <f t="shared" si="6"/>
        <v>0.95454545454545514</v>
      </c>
      <c r="R27" s="615"/>
      <c r="S27" s="34">
        <v>0.75624999999999998</v>
      </c>
      <c r="T27" s="34">
        <v>0.83263888888888882</v>
      </c>
      <c r="U27" s="286">
        <f t="shared" si="22"/>
        <v>6.9999999999999751</v>
      </c>
      <c r="V27" s="291">
        <f t="shared" si="21"/>
        <v>109.99999999999993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-90.909090909089628</v>
      </c>
      <c r="AF27" s="285">
        <f t="shared" si="9"/>
        <v>0.95454545454545514</v>
      </c>
      <c r="AG27" s="615"/>
    </row>
    <row r="28" spans="1:33" ht="15.75" customHeight="1">
      <c r="A28" s="643" t="s">
        <v>9</v>
      </c>
      <c r="B28" s="29" t="s">
        <v>6</v>
      </c>
      <c r="C28" s="618"/>
      <c r="D28" s="618"/>
      <c r="E28" s="287"/>
      <c r="F28" s="293"/>
      <c r="G28" s="286"/>
      <c r="H28" s="293"/>
      <c r="I28" s="23">
        <v>15.333333333333334</v>
      </c>
      <c r="J28" s="31">
        <v>1916.6666666666667</v>
      </c>
      <c r="K28" s="12">
        <f t="shared" si="1"/>
        <v>125</v>
      </c>
      <c r="L28" s="23">
        <v>15.333333333333334</v>
      </c>
      <c r="M28" s="13">
        <f>AVERAGE(M22:M27)</f>
        <v>1836.7167380439996</v>
      </c>
      <c r="N28" s="12">
        <f t="shared" si="3"/>
        <v>119.78587422026084</v>
      </c>
      <c r="O28" s="14">
        <f t="shared" si="4"/>
        <v>0</v>
      </c>
      <c r="P28" s="15">
        <f t="shared" si="5"/>
        <v>-5.2141257797391631</v>
      </c>
      <c r="Q28" s="285">
        <f t="shared" si="6"/>
        <v>0.9582869937620867</v>
      </c>
      <c r="R28" s="615"/>
      <c r="S28" s="34"/>
      <c r="T28" s="34"/>
      <c r="U28" s="12"/>
      <c r="V28" s="291"/>
      <c r="W28" s="12"/>
      <c r="X28" s="12"/>
      <c r="Y28" s="24">
        <f>SUM(Y22:Y27)</f>
        <v>0</v>
      </c>
      <c r="Z28" s="24">
        <f>SUM(Z22:Z27)</f>
        <v>0</v>
      </c>
      <c r="AA28" s="614"/>
      <c r="AB28" s="614"/>
      <c r="AC28" s="24">
        <v>6</v>
      </c>
      <c r="AD28" s="24">
        <f>SUM(AD22:AD27)</f>
        <v>0</v>
      </c>
      <c r="AE28" s="14">
        <f t="shared" si="8"/>
        <v>-79.94992862266713</v>
      </c>
      <c r="AF28" s="285">
        <f t="shared" si="9"/>
        <v>0.9582869937620867</v>
      </c>
      <c r="AG28" s="615"/>
    </row>
    <row r="29" spans="1:33" ht="15.75" customHeight="1">
      <c r="A29" s="641" t="s">
        <v>10</v>
      </c>
      <c r="B29" s="29" t="s">
        <v>32</v>
      </c>
      <c r="C29" s="640" t="s">
        <v>33</v>
      </c>
      <c r="D29" s="640"/>
      <c r="E29" s="29">
        <v>31.29</v>
      </c>
      <c r="F29" s="293">
        <v>8137</v>
      </c>
      <c r="G29" s="286">
        <f t="shared" ref="G29:G34" si="23">E29*F29</f>
        <v>254606.72999999998</v>
      </c>
      <c r="H29" s="33" t="s">
        <v>57</v>
      </c>
      <c r="I29" s="290">
        <v>18</v>
      </c>
      <c r="J29" s="31">
        <v>2400</v>
      </c>
      <c r="K29" s="12">
        <f t="shared" si="1"/>
        <v>133.33333333333334</v>
      </c>
      <c r="L29" s="290">
        <v>18</v>
      </c>
      <c r="M29" s="13">
        <f t="shared" ref="M29:M34" si="24">F29/V29*60</f>
        <v>2292.1126760563375</v>
      </c>
      <c r="N29" s="12">
        <f t="shared" si="3"/>
        <v>127.33959311424097</v>
      </c>
      <c r="O29" s="14">
        <f t="shared" si="4"/>
        <v>0</v>
      </c>
      <c r="P29" s="15">
        <f t="shared" si="5"/>
        <v>-5.9937402190923734</v>
      </c>
      <c r="Q29" s="285">
        <f t="shared" si="6"/>
        <v>0.95504694835680726</v>
      </c>
      <c r="R29" s="615">
        <f>Q35</f>
        <v>0.95833576042659252</v>
      </c>
      <c r="S29" s="34">
        <v>8.3333333333333329E-2</v>
      </c>
      <c r="T29" s="34">
        <v>0.23125000000000001</v>
      </c>
      <c r="U29" s="286"/>
      <c r="V29" s="291">
        <f t="shared" ref="V29:V34" si="25">(T29-S29)*24*60</f>
        <v>213.00000000000006</v>
      </c>
      <c r="W29" s="16">
        <f>T29</f>
        <v>0.23125000000000001</v>
      </c>
      <c r="X29" s="16">
        <f>S30</f>
        <v>0.25069444444444444</v>
      </c>
      <c r="Y29" s="16"/>
      <c r="Z29" s="16"/>
      <c r="AA29" s="617"/>
      <c r="AB29" s="617"/>
      <c r="AC29" s="35">
        <v>6</v>
      </c>
      <c r="AD29" s="18"/>
      <c r="AE29" s="14">
        <f t="shared" si="8"/>
        <v>-107.88732394366252</v>
      </c>
      <c r="AF29" s="285">
        <f t="shared" si="9"/>
        <v>0.95504694835680726</v>
      </c>
      <c r="AG29" s="615">
        <f>AF35</f>
        <v>0.95833576042659252</v>
      </c>
    </row>
    <row r="30" spans="1:33" ht="15.75" customHeight="1">
      <c r="A30" s="641" t="s">
        <v>10</v>
      </c>
      <c r="B30" s="29" t="s">
        <v>32</v>
      </c>
      <c r="C30" s="640" t="s">
        <v>34</v>
      </c>
      <c r="D30" s="640"/>
      <c r="E30" s="29">
        <v>26.37</v>
      </c>
      <c r="F30" s="293">
        <v>5412</v>
      </c>
      <c r="G30" s="286">
        <f t="shared" si="23"/>
        <v>142714.44</v>
      </c>
      <c r="H30" s="33" t="s">
        <v>57</v>
      </c>
      <c r="I30" s="290">
        <v>18</v>
      </c>
      <c r="J30" s="31">
        <v>2400</v>
      </c>
      <c r="K30" s="12">
        <f t="shared" si="1"/>
        <v>133.33333333333334</v>
      </c>
      <c r="L30" s="290">
        <v>18</v>
      </c>
      <c r="M30" s="13">
        <f t="shared" si="24"/>
        <v>2286.7605633802823</v>
      </c>
      <c r="N30" s="12">
        <f t="shared" si="3"/>
        <v>127.0422535211268</v>
      </c>
      <c r="O30" s="14">
        <f t="shared" si="4"/>
        <v>0</v>
      </c>
      <c r="P30" s="15">
        <f t="shared" si="5"/>
        <v>-6.2910798122065472</v>
      </c>
      <c r="Q30" s="285">
        <f t="shared" si="6"/>
        <v>0.95281690140845088</v>
      </c>
      <c r="R30" s="615"/>
      <c r="S30" s="34">
        <v>0.25069444444444444</v>
      </c>
      <c r="T30" s="34">
        <v>0.34930555555555554</v>
      </c>
      <c r="U30" s="286">
        <f t="shared" ref="U30:U34" si="26">(S30-T29)*24*60</f>
        <v>27.999999999999979</v>
      </c>
      <c r="V30" s="291">
        <f t="shared" si="25"/>
        <v>141.99999999999997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-113.23943661971771</v>
      </c>
      <c r="AF30" s="285">
        <f t="shared" si="9"/>
        <v>0.95281690140845099</v>
      </c>
      <c r="AG30" s="615"/>
    </row>
    <row r="31" spans="1:33" ht="15.75" customHeight="1">
      <c r="A31" s="641" t="s">
        <v>10</v>
      </c>
      <c r="B31" s="29" t="s">
        <v>32</v>
      </c>
      <c r="C31" s="640" t="s">
        <v>76</v>
      </c>
      <c r="D31" s="640"/>
      <c r="E31" s="29">
        <v>26.18</v>
      </c>
      <c r="F31" s="293">
        <v>3900</v>
      </c>
      <c r="G31" s="286">
        <f t="shared" si="23"/>
        <v>102102</v>
      </c>
      <c r="H31" s="33">
        <v>2</v>
      </c>
      <c r="I31" s="290">
        <v>18</v>
      </c>
      <c r="J31" s="31">
        <v>2400</v>
      </c>
      <c r="K31" s="12">
        <f t="shared" si="1"/>
        <v>133.33333333333334</v>
      </c>
      <c r="L31" s="290">
        <v>18</v>
      </c>
      <c r="M31" s="13">
        <f t="shared" si="24"/>
        <v>2294.1176470588243</v>
      </c>
      <c r="N31" s="12">
        <f t="shared" si="3"/>
        <v>127.45098039215691</v>
      </c>
      <c r="O31" s="14">
        <f t="shared" si="4"/>
        <v>0</v>
      </c>
      <c r="P31" s="15">
        <f t="shared" si="5"/>
        <v>-5.8823529411764355</v>
      </c>
      <c r="Q31" s="285">
        <f t="shared" si="6"/>
        <v>0.95588235294117674</v>
      </c>
      <c r="R31" s="615"/>
      <c r="S31" s="34">
        <v>0.35277777777777775</v>
      </c>
      <c r="T31" s="34">
        <v>0.42361111111111105</v>
      </c>
      <c r="U31" s="286">
        <f t="shared" si="26"/>
        <v>4.9999999999999822</v>
      </c>
      <c r="V31" s="291">
        <f t="shared" si="25"/>
        <v>101.99999999999996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-105.88235294117567</v>
      </c>
      <c r="AF31" s="285">
        <f t="shared" si="9"/>
        <v>0.95588235294117685</v>
      </c>
      <c r="AG31" s="615"/>
    </row>
    <row r="32" spans="1:33" ht="15.75" customHeight="1">
      <c r="A32" s="641" t="s">
        <v>10</v>
      </c>
      <c r="B32" s="29" t="s">
        <v>32</v>
      </c>
      <c r="C32" s="640" t="s">
        <v>79</v>
      </c>
      <c r="D32" s="640"/>
      <c r="E32" s="29">
        <v>25.99</v>
      </c>
      <c r="F32" s="293">
        <v>1667</v>
      </c>
      <c r="G32" s="286">
        <f t="shared" si="23"/>
        <v>43325.329999999994</v>
      </c>
      <c r="H32" s="33" t="s">
        <v>57</v>
      </c>
      <c r="I32" s="290">
        <v>18</v>
      </c>
      <c r="J32" s="31">
        <v>2400</v>
      </c>
      <c r="K32" s="12">
        <f t="shared" si="1"/>
        <v>133.33333333333334</v>
      </c>
      <c r="L32" s="290">
        <v>18</v>
      </c>
      <c r="M32" s="13">
        <f t="shared" si="24"/>
        <v>2326.0465116279065</v>
      </c>
      <c r="N32" s="12">
        <f t="shared" si="3"/>
        <v>129.22480620155036</v>
      </c>
      <c r="O32" s="14">
        <f t="shared" si="4"/>
        <v>0</v>
      </c>
      <c r="P32" s="15">
        <f t="shared" si="5"/>
        <v>-4.1085271317829779</v>
      </c>
      <c r="Q32" s="285">
        <f t="shared" si="6"/>
        <v>0.96918604651162765</v>
      </c>
      <c r="R32" s="615"/>
      <c r="S32" s="34">
        <v>0.42847222222222214</v>
      </c>
      <c r="T32" s="34">
        <v>0.45833333333333326</v>
      </c>
      <c r="U32" s="286">
        <f t="shared" si="26"/>
        <v>6.9999999999999751</v>
      </c>
      <c r="V32" s="291">
        <f t="shared" si="25"/>
        <v>43.000000000000007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-73.953488372093489</v>
      </c>
      <c r="AF32" s="285">
        <f t="shared" si="9"/>
        <v>0.96918604651162776</v>
      </c>
      <c r="AG32" s="615"/>
    </row>
    <row r="33" spans="1:33" ht="15.75" customHeight="1">
      <c r="A33" s="641" t="s">
        <v>10</v>
      </c>
      <c r="B33" s="29" t="s">
        <v>32</v>
      </c>
      <c r="C33" s="640" t="s">
        <v>35</v>
      </c>
      <c r="D33" s="640"/>
      <c r="E33" s="29">
        <v>25.99</v>
      </c>
      <c r="F33" s="293">
        <v>3303</v>
      </c>
      <c r="G33" s="286">
        <f t="shared" si="23"/>
        <v>85844.97</v>
      </c>
      <c r="H33" s="33" t="s">
        <v>57</v>
      </c>
      <c r="I33" s="290">
        <v>14</v>
      </c>
      <c r="J33" s="31">
        <v>2400</v>
      </c>
      <c r="K33" s="12">
        <f t="shared" si="1"/>
        <v>171.42857142857142</v>
      </c>
      <c r="L33" s="290">
        <v>14</v>
      </c>
      <c r="M33" s="13">
        <f t="shared" si="24"/>
        <v>2304.4186046511622</v>
      </c>
      <c r="N33" s="12">
        <f t="shared" si="3"/>
        <v>164.60132890365443</v>
      </c>
      <c r="O33" s="14">
        <f t="shared" si="4"/>
        <v>0</v>
      </c>
      <c r="P33" s="15">
        <f t="shared" si="5"/>
        <v>-6.8272425249169828</v>
      </c>
      <c r="Q33" s="285">
        <f t="shared" si="6"/>
        <v>0.96017441860465091</v>
      </c>
      <c r="R33" s="615"/>
      <c r="S33" s="34">
        <v>0.46249999999999991</v>
      </c>
      <c r="T33" s="34">
        <v>0.52222222222222214</v>
      </c>
      <c r="U33" s="286">
        <f t="shared" si="26"/>
        <v>5.9999999999999787</v>
      </c>
      <c r="V33" s="291">
        <f t="shared" si="25"/>
        <v>86.000000000000014</v>
      </c>
      <c r="W33" s="16">
        <f>T33</f>
        <v>0.52222222222222214</v>
      </c>
      <c r="X33" s="16">
        <f>S34</f>
        <v>0.56180555555555545</v>
      </c>
      <c r="Y33" s="16"/>
      <c r="Z33" s="16"/>
      <c r="AA33" s="617"/>
      <c r="AB33" s="617"/>
      <c r="AC33" s="35"/>
      <c r="AD33" s="18"/>
      <c r="AE33" s="14">
        <f t="shared" si="8"/>
        <v>-95.581395348837759</v>
      </c>
      <c r="AF33" s="285">
        <f t="shared" si="9"/>
        <v>0.96017441860465091</v>
      </c>
      <c r="AG33" s="615"/>
    </row>
    <row r="34" spans="1:33" ht="15.75" customHeight="1">
      <c r="A34" s="641" t="s">
        <v>10</v>
      </c>
      <c r="B34" s="29" t="s">
        <v>32</v>
      </c>
      <c r="C34" s="640" t="s">
        <v>76</v>
      </c>
      <c r="D34" s="640"/>
      <c r="E34" s="29">
        <v>26.18</v>
      </c>
      <c r="F34" s="293">
        <v>2909</v>
      </c>
      <c r="G34" s="286">
        <f t="shared" si="23"/>
        <v>76157.62</v>
      </c>
      <c r="H34" s="33" t="s">
        <v>57</v>
      </c>
      <c r="I34" s="290">
        <v>18</v>
      </c>
      <c r="J34" s="31">
        <v>2400</v>
      </c>
      <c r="K34" s="12">
        <f t="shared" si="1"/>
        <v>133.33333333333334</v>
      </c>
      <c r="L34" s="290">
        <v>18</v>
      </c>
      <c r="M34" s="13">
        <f t="shared" si="24"/>
        <v>2296.5789473684194</v>
      </c>
      <c r="N34" s="12">
        <f t="shared" si="3"/>
        <v>127.58771929824553</v>
      </c>
      <c r="O34" s="14">
        <f t="shared" si="4"/>
        <v>0</v>
      </c>
      <c r="P34" s="15">
        <f t="shared" si="5"/>
        <v>-5.7456140350878115</v>
      </c>
      <c r="Q34" s="285">
        <f t="shared" si="6"/>
        <v>0.95690789473684146</v>
      </c>
      <c r="R34" s="615"/>
      <c r="S34" s="34">
        <v>0.56180555555555545</v>
      </c>
      <c r="T34" s="34">
        <v>0.61458333333333326</v>
      </c>
      <c r="U34" s="286">
        <f t="shared" si="26"/>
        <v>56.999999999999957</v>
      </c>
      <c r="V34" s="291">
        <f t="shared" si="25"/>
        <v>76.000000000000057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-103.42105263158055</v>
      </c>
      <c r="AF34" s="285">
        <f t="shared" si="9"/>
        <v>0.95690789473684146</v>
      </c>
      <c r="AG34" s="615"/>
    </row>
    <row r="35" spans="1:33" ht="15.75" customHeight="1">
      <c r="A35" s="641" t="s">
        <v>10</v>
      </c>
      <c r="B35" s="29" t="s">
        <v>6</v>
      </c>
      <c r="C35" s="618"/>
      <c r="D35" s="618"/>
      <c r="E35" s="287"/>
      <c r="F35" s="293"/>
      <c r="G35" s="286"/>
      <c r="H35" s="293"/>
      <c r="I35" s="23">
        <v>17.333333333333332</v>
      </c>
      <c r="J35" s="31">
        <v>2400</v>
      </c>
      <c r="K35" s="12">
        <f t="shared" si="1"/>
        <v>138.46153846153848</v>
      </c>
      <c r="L35" s="23">
        <v>17.333333333333332</v>
      </c>
      <c r="M35" s="13">
        <f>AVERAGE(M29:M34)</f>
        <v>2300.0058250238221</v>
      </c>
      <c r="N35" s="12">
        <f t="shared" si="3"/>
        <v>132.69264375137436</v>
      </c>
      <c r="O35" s="14">
        <f t="shared" si="4"/>
        <v>0</v>
      </c>
      <c r="P35" s="15">
        <f t="shared" si="5"/>
        <v>-5.768894710164119</v>
      </c>
      <c r="Q35" s="285">
        <f t="shared" si="6"/>
        <v>0.95833576042659252</v>
      </c>
      <c r="R35" s="615"/>
      <c r="S35" s="34"/>
      <c r="T35" s="34"/>
      <c r="U35" s="286"/>
      <c r="V35" s="291"/>
      <c r="W35" s="286"/>
      <c r="X35" s="286"/>
      <c r="Y35" s="24">
        <f>SUM(Y29:Y34)</f>
        <v>0</v>
      </c>
      <c r="Z35" s="24">
        <f>SUM(Z29:Z34)</f>
        <v>0</v>
      </c>
      <c r="AA35" s="614"/>
      <c r="AB35" s="614"/>
      <c r="AC35" s="24">
        <v>6</v>
      </c>
      <c r="AD35" s="24">
        <f>SUM(AD29:AD34)</f>
        <v>0</v>
      </c>
      <c r="AE35" s="14">
        <f t="shared" si="8"/>
        <v>-99.994174976177874</v>
      </c>
      <c r="AF35" s="285">
        <f t="shared" si="9"/>
        <v>0.95833576042659252</v>
      </c>
      <c r="AG35" s="615"/>
    </row>
    <row r="36" spans="1:33" ht="15.75" customHeight="1">
      <c r="A36" s="638" t="s">
        <v>11</v>
      </c>
      <c r="B36" s="29" t="s">
        <v>32</v>
      </c>
      <c r="C36" s="616" t="s">
        <v>77</v>
      </c>
      <c r="D36" s="616"/>
      <c r="E36" s="29">
        <v>26.18</v>
      </c>
      <c r="F36" s="293">
        <v>5212</v>
      </c>
      <c r="G36" s="286">
        <f t="shared" ref="G36:G41" si="27">E36*F36</f>
        <v>136450.16</v>
      </c>
      <c r="H36" s="33" t="s">
        <v>57</v>
      </c>
      <c r="I36" s="290">
        <v>20</v>
      </c>
      <c r="J36" s="31">
        <v>2400</v>
      </c>
      <c r="K36" s="12">
        <f t="shared" si="1"/>
        <v>120</v>
      </c>
      <c r="L36" s="290">
        <v>20</v>
      </c>
      <c r="M36" s="13">
        <f t="shared" ref="M36:M41" si="28">F36/V36*60</f>
        <v>2282.6277372262775</v>
      </c>
      <c r="N36" s="12">
        <f t="shared" si="3"/>
        <v>114.13138686131387</v>
      </c>
      <c r="O36" s="14">
        <f t="shared" si="4"/>
        <v>0</v>
      </c>
      <c r="P36" s="15">
        <f t="shared" si="5"/>
        <v>-5.8686131386861291</v>
      </c>
      <c r="Q36" s="285">
        <f t="shared" si="6"/>
        <v>0.95109489051094898</v>
      </c>
      <c r="R36" s="615">
        <f>Q42</f>
        <v>0.95546715134314963</v>
      </c>
      <c r="S36" s="34">
        <v>8.3333333333333329E-2</v>
      </c>
      <c r="T36" s="34">
        <v>0.1784722222222222</v>
      </c>
      <c r="U36" s="286"/>
      <c r="V36" s="291">
        <f t="shared" ref="V36:V41" si="29">(T36-S36)*24*60</f>
        <v>136.99999999999997</v>
      </c>
      <c r="W36" s="21">
        <f>T36</f>
        <v>0.1784722222222222</v>
      </c>
      <c r="X36" s="21">
        <f>S37</f>
        <v>0.19722222222222219</v>
      </c>
      <c r="Y36" s="21"/>
      <c r="Z36" s="21"/>
      <c r="AA36" s="617"/>
      <c r="AB36" s="617"/>
      <c r="AC36" s="35">
        <v>6</v>
      </c>
      <c r="AD36" s="18"/>
      <c r="AE36" s="14">
        <f t="shared" si="8"/>
        <v>-117.37226277372247</v>
      </c>
      <c r="AF36" s="285">
        <f t="shared" si="9"/>
        <v>0.95109489051094898</v>
      </c>
      <c r="AG36" s="615">
        <f>AF42</f>
        <v>0.95546715134314963</v>
      </c>
    </row>
    <row r="37" spans="1:33" ht="15.75" customHeight="1">
      <c r="A37" s="638" t="s">
        <v>11</v>
      </c>
      <c r="B37" s="29" t="s">
        <v>32</v>
      </c>
      <c r="C37" s="616" t="s">
        <v>37</v>
      </c>
      <c r="D37" s="616"/>
      <c r="E37" s="29">
        <v>24.43</v>
      </c>
      <c r="F37" s="293">
        <v>5747</v>
      </c>
      <c r="G37" s="286">
        <f t="shared" si="27"/>
        <v>140399.21</v>
      </c>
      <c r="H37" s="33" t="s">
        <v>57</v>
      </c>
      <c r="I37" s="290">
        <v>14</v>
      </c>
      <c r="J37" s="31">
        <v>2400</v>
      </c>
      <c r="K37" s="12">
        <f t="shared" si="1"/>
        <v>171.42857142857142</v>
      </c>
      <c r="L37" s="290">
        <v>14</v>
      </c>
      <c r="M37" s="13">
        <f t="shared" si="28"/>
        <v>2283.5761589403969</v>
      </c>
      <c r="N37" s="12">
        <f t="shared" si="3"/>
        <v>163.11258278145692</v>
      </c>
      <c r="O37" s="14">
        <f t="shared" si="4"/>
        <v>0</v>
      </c>
      <c r="P37" s="15">
        <f t="shared" si="5"/>
        <v>-8.3159886471144944</v>
      </c>
      <c r="Q37" s="285">
        <f t="shared" si="6"/>
        <v>0.95149006622516541</v>
      </c>
      <c r="R37" s="615"/>
      <c r="S37" s="34">
        <v>0.19722222222222219</v>
      </c>
      <c r="T37" s="34">
        <v>0.30208333333333331</v>
      </c>
      <c r="U37" s="286">
        <f t="shared" ref="U37:U41" si="30">(S37-T36)*24*60</f>
        <v>26.999999999999986</v>
      </c>
      <c r="V37" s="291">
        <f t="shared" si="29"/>
        <v>151.00000000000003</v>
      </c>
      <c r="W37" s="286"/>
      <c r="X37" s="286"/>
      <c r="Y37" s="286"/>
      <c r="Z37" s="286"/>
      <c r="AA37" s="617"/>
      <c r="AB37" s="617"/>
      <c r="AC37" s="35"/>
      <c r="AD37" s="18"/>
      <c r="AE37" s="14">
        <f t="shared" si="8"/>
        <v>-116.42384105960309</v>
      </c>
      <c r="AF37" s="285">
        <f t="shared" si="9"/>
        <v>0.95149006622516541</v>
      </c>
      <c r="AG37" s="615"/>
    </row>
    <row r="38" spans="1:33">
      <c r="A38" s="639" t="s">
        <v>11</v>
      </c>
      <c r="B38" s="29" t="s">
        <v>32</v>
      </c>
      <c r="C38" s="616" t="s">
        <v>38</v>
      </c>
      <c r="D38" s="616"/>
      <c r="E38" s="29">
        <v>25.98</v>
      </c>
      <c r="F38" s="293">
        <v>2474</v>
      </c>
      <c r="G38" s="286">
        <f t="shared" si="27"/>
        <v>64274.520000000004</v>
      </c>
      <c r="H38" s="33" t="s">
        <v>57</v>
      </c>
      <c r="I38" s="290">
        <v>21</v>
      </c>
      <c r="J38" s="31">
        <v>2400</v>
      </c>
      <c r="K38" s="12">
        <f t="shared" si="1"/>
        <v>114.28571428571429</v>
      </c>
      <c r="L38" s="290">
        <v>21</v>
      </c>
      <c r="M38" s="13">
        <f t="shared" si="28"/>
        <v>2283.6923076923072</v>
      </c>
      <c r="N38" s="12">
        <f t="shared" si="3"/>
        <v>108.74725274725272</v>
      </c>
      <c r="O38" s="14">
        <f t="shared" si="4"/>
        <v>0</v>
      </c>
      <c r="P38" s="15">
        <f t="shared" si="5"/>
        <v>-5.5384615384615756</v>
      </c>
      <c r="Q38" s="285">
        <f t="shared" si="6"/>
        <v>0.95153846153846122</v>
      </c>
      <c r="R38" s="615"/>
      <c r="S38" s="34">
        <v>0.30763888888888885</v>
      </c>
      <c r="T38" s="34">
        <v>0.35277777777777775</v>
      </c>
      <c r="U38" s="286">
        <f t="shared" si="30"/>
        <v>7.9999999999999716</v>
      </c>
      <c r="V38" s="291">
        <f t="shared" si="29"/>
        <v>65.000000000000014</v>
      </c>
      <c r="W38" s="286"/>
      <c r="X38" s="286"/>
      <c r="Y38" s="286"/>
      <c r="Z38" s="286"/>
      <c r="AA38" s="617"/>
      <c r="AB38" s="617"/>
      <c r="AC38" s="35"/>
      <c r="AD38" s="18"/>
      <c r="AE38" s="14">
        <f t="shared" si="8"/>
        <v>-116.30769230769283</v>
      </c>
      <c r="AF38" s="285">
        <f t="shared" si="9"/>
        <v>0.95153846153846133</v>
      </c>
      <c r="AG38" s="615"/>
    </row>
    <row r="39" spans="1:33">
      <c r="A39" s="639" t="s">
        <v>11</v>
      </c>
      <c r="B39" s="29" t="s">
        <v>32</v>
      </c>
      <c r="C39" s="616" t="s">
        <v>39</v>
      </c>
      <c r="D39" s="616"/>
      <c r="E39" s="29">
        <v>34.1</v>
      </c>
      <c r="F39" s="293">
        <v>3200</v>
      </c>
      <c r="G39" s="286">
        <f t="shared" si="27"/>
        <v>109120</v>
      </c>
      <c r="H39" s="33">
        <v>2</v>
      </c>
      <c r="I39" s="290">
        <v>17</v>
      </c>
      <c r="J39" s="31">
        <v>1600</v>
      </c>
      <c r="K39" s="12">
        <f t="shared" si="1"/>
        <v>94.117647058823536</v>
      </c>
      <c r="L39" s="290">
        <v>17</v>
      </c>
      <c r="M39" s="13">
        <f t="shared" si="28"/>
        <v>1535.9999999999995</v>
      </c>
      <c r="N39" s="12">
        <f t="shared" si="3"/>
        <v>90.352941176470566</v>
      </c>
      <c r="O39" s="14">
        <f t="shared" si="4"/>
        <v>0</v>
      </c>
      <c r="P39" s="15">
        <f t="shared" si="5"/>
        <v>-3.7647058823529704</v>
      </c>
      <c r="Q39" s="285">
        <f t="shared" si="6"/>
        <v>0.95999999999999974</v>
      </c>
      <c r="R39" s="615"/>
      <c r="S39" s="34">
        <v>0.35624999999999996</v>
      </c>
      <c r="T39" s="34">
        <v>0.44305555555555554</v>
      </c>
      <c r="U39" s="286">
        <f t="shared" si="30"/>
        <v>4.9999999999999822</v>
      </c>
      <c r="V39" s="291">
        <f t="shared" si="29"/>
        <v>125.00000000000003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-64.000000000000455</v>
      </c>
      <c r="AF39" s="285">
        <f t="shared" si="9"/>
        <v>0.95999999999999974</v>
      </c>
      <c r="AG39" s="615"/>
    </row>
    <row r="40" spans="1:33">
      <c r="A40" s="639" t="s">
        <v>11</v>
      </c>
      <c r="B40" s="29" t="s">
        <v>32</v>
      </c>
      <c r="C40" s="616" t="s">
        <v>84</v>
      </c>
      <c r="D40" s="616"/>
      <c r="E40" s="29">
        <v>20.21</v>
      </c>
      <c r="F40" s="293">
        <v>3458</v>
      </c>
      <c r="G40" s="286">
        <f t="shared" si="27"/>
        <v>69886.180000000008</v>
      </c>
      <c r="H40" s="33" t="s">
        <v>57</v>
      </c>
      <c r="I40" s="290">
        <v>18</v>
      </c>
      <c r="J40" s="31">
        <v>2400</v>
      </c>
      <c r="K40" s="12">
        <f t="shared" si="1"/>
        <v>133.33333333333334</v>
      </c>
      <c r="L40" s="290">
        <v>18</v>
      </c>
      <c r="M40" s="13">
        <f t="shared" si="28"/>
        <v>2305.3333333333335</v>
      </c>
      <c r="N40" s="12">
        <f t="shared" si="3"/>
        <v>128.07407407407408</v>
      </c>
      <c r="O40" s="14">
        <f t="shared" si="4"/>
        <v>0</v>
      </c>
      <c r="P40" s="15">
        <f t="shared" si="5"/>
        <v>-5.2592592592592666</v>
      </c>
      <c r="Q40" s="285">
        <f t="shared" si="6"/>
        <v>0.9605555555555555</v>
      </c>
      <c r="R40" s="615"/>
      <c r="S40" s="34">
        <v>0.44861111111111107</v>
      </c>
      <c r="T40" s="34">
        <v>0.51111111111111107</v>
      </c>
      <c r="U40" s="286">
        <f t="shared" si="30"/>
        <v>7.9999999999999716</v>
      </c>
      <c r="V40" s="291">
        <f t="shared" si="29"/>
        <v>90</v>
      </c>
      <c r="W40" s="16">
        <f>T40</f>
        <v>0.51111111111111107</v>
      </c>
      <c r="X40" s="16">
        <f>S41</f>
        <v>0.55208333333333326</v>
      </c>
      <c r="Y40" s="16"/>
      <c r="Z40" s="16"/>
      <c r="AA40" s="617"/>
      <c r="AB40" s="617"/>
      <c r="AC40" s="35"/>
      <c r="AD40" s="18"/>
      <c r="AE40" s="14">
        <f t="shared" si="8"/>
        <v>-94.666666666666515</v>
      </c>
      <c r="AF40" s="285">
        <f t="shared" si="9"/>
        <v>0.96055555555555561</v>
      </c>
      <c r="AG40" s="615"/>
    </row>
    <row r="41" spans="1:33">
      <c r="A41" s="639" t="s">
        <v>11</v>
      </c>
      <c r="B41" s="29" t="s">
        <v>32</v>
      </c>
      <c r="C41" s="616" t="s">
        <v>39</v>
      </c>
      <c r="D41" s="616"/>
      <c r="E41" s="29">
        <v>34.1</v>
      </c>
      <c r="F41" s="293">
        <v>2462</v>
      </c>
      <c r="G41" s="286">
        <f t="shared" si="27"/>
        <v>83954.2</v>
      </c>
      <c r="H41" s="33" t="s">
        <v>57</v>
      </c>
      <c r="I41" s="290">
        <v>17</v>
      </c>
      <c r="J41" s="31">
        <v>1600</v>
      </c>
      <c r="K41" s="12">
        <f t="shared" si="1"/>
        <v>94.117647058823536</v>
      </c>
      <c r="L41" s="290">
        <v>17</v>
      </c>
      <c r="M41" s="13">
        <f t="shared" si="28"/>
        <v>1538.7500000000005</v>
      </c>
      <c r="N41" s="12">
        <f t="shared" si="3"/>
        <v>90.51470588235297</v>
      </c>
      <c r="O41" s="14">
        <f t="shared" si="4"/>
        <v>0</v>
      </c>
      <c r="P41" s="15">
        <f t="shared" si="5"/>
        <v>-3.6029411764705657</v>
      </c>
      <c r="Q41" s="285">
        <f t="shared" si="6"/>
        <v>0.96171875000000029</v>
      </c>
      <c r="R41" s="615"/>
      <c r="S41" s="34">
        <v>0.55208333333333326</v>
      </c>
      <c r="T41" s="34">
        <v>0.61874999999999991</v>
      </c>
      <c r="U41" s="286">
        <f t="shared" si="30"/>
        <v>58.99999999999995</v>
      </c>
      <c r="V41" s="291">
        <f t="shared" si="29"/>
        <v>95.999999999999972</v>
      </c>
      <c r="W41" s="16"/>
      <c r="X41" s="16"/>
      <c r="Y41" s="16"/>
      <c r="Z41" s="16"/>
      <c r="AA41" s="617"/>
      <c r="AB41" s="617"/>
      <c r="AC41" s="35"/>
      <c r="AD41" s="18"/>
      <c r="AE41" s="14">
        <f t="shared" si="8"/>
        <v>-61.249999999999545</v>
      </c>
      <c r="AF41" s="285">
        <f t="shared" si="9"/>
        <v>0.96171875000000029</v>
      </c>
      <c r="AG41" s="615"/>
    </row>
    <row r="42" spans="1:33">
      <c r="A42" s="639" t="s">
        <v>11</v>
      </c>
      <c r="B42" s="30" t="s">
        <v>6</v>
      </c>
      <c r="C42" s="618"/>
      <c r="D42" s="618"/>
      <c r="E42" s="287"/>
      <c r="F42" s="30"/>
      <c r="G42" s="12"/>
      <c r="H42" s="293"/>
      <c r="I42" s="23">
        <v>17.833333333333332</v>
      </c>
      <c r="J42" s="31">
        <v>2133.3333333333335</v>
      </c>
      <c r="K42" s="12">
        <f t="shared" si="1"/>
        <v>119.62616822429908</v>
      </c>
      <c r="L42" s="23">
        <v>17.833333333333332</v>
      </c>
      <c r="M42" s="13">
        <f>AVERAGE(M36:M41)</f>
        <v>2038.3299228653859</v>
      </c>
      <c r="N42" s="12">
        <f t="shared" si="3"/>
        <v>114.29887417936744</v>
      </c>
      <c r="O42" s="14">
        <f t="shared" si="4"/>
        <v>0</v>
      </c>
      <c r="P42" s="15">
        <f t="shared" si="5"/>
        <v>-5.3272940449316337</v>
      </c>
      <c r="Q42" s="285">
        <f t="shared" si="6"/>
        <v>0.95546715134314963</v>
      </c>
      <c r="R42" s="615"/>
      <c r="S42" s="34"/>
      <c r="T42" s="34"/>
      <c r="U42" s="12"/>
      <c r="V42" s="291"/>
      <c r="W42" s="12"/>
      <c r="X42" s="12"/>
      <c r="Y42" s="24">
        <f>SUM(Y36:Y41)</f>
        <v>0</v>
      </c>
      <c r="Z42" s="24">
        <f>SUM(Z36:Z41)</f>
        <v>0</v>
      </c>
      <c r="AA42" s="614"/>
      <c r="AB42" s="614"/>
      <c r="AC42" s="24">
        <v>6</v>
      </c>
      <c r="AD42" s="24">
        <f>SUM(AD36:AD41)</f>
        <v>0</v>
      </c>
      <c r="AE42" s="14">
        <f t="shared" si="8"/>
        <v>-95.00341046794756</v>
      </c>
      <c r="AF42" s="285">
        <f t="shared" si="9"/>
        <v>0.95546715134314963</v>
      </c>
      <c r="AG42" s="615"/>
    </row>
    <row r="43" spans="1:33" ht="15.75" customHeight="1">
      <c r="A43" s="632" t="s">
        <v>180</v>
      </c>
      <c r="B43" s="29" t="s">
        <v>40</v>
      </c>
      <c r="C43" s="622" t="s">
        <v>41</v>
      </c>
      <c r="D43" s="623"/>
      <c r="E43" s="29">
        <v>37.880000000000003</v>
      </c>
      <c r="F43" s="293">
        <v>710</v>
      </c>
      <c r="G43" s="286">
        <f t="shared" ref="G43:G46" si="31">E43*F43</f>
        <v>26894.800000000003</v>
      </c>
      <c r="H43" s="33" t="s">
        <v>57</v>
      </c>
      <c r="I43" s="290">
        <v>13</v>
      </c>
      <c r="J43" s="31">
        <v>2000</v>
      </c>
      <c r="K43" s="12">
        <f t="shared" si="1"/>
        <v>153.84615384615384</v>
      </c>
      <c r="L43" s="290">
        <v>13</v>
      </c>
      <c r="M43" s="13">
        <f t="shared" ref="M43:M46" si="32">F43/V43*60</f>
        <v>1936.3636363636365</v>
      </c>
      <c r="N43" s="13">
        <f t="shared" si="3"/>
        <v>148.95104895104896</v>
      </c>
      <c r="O43" s="14">
        <f t="shared" si="4"/>
        <v>0</v>
      </c>
      <c r="P43" s="15">
        <f t="shared" si="5"/>
        <v>-4.895104895104879</v>
      </c>
      <c r="Q43" s="285">
        <f t="shared" si="6"/>
        <v>0.96818181818181825</v>
      </c>
      <c r="R43" s="635">
        <f>Q47</f>
        <v>0.95789610389610391</v>
      </c>
      <c r="S43" s="34">
        <v>8.3333333333333329E-2</v>
      </c>
      <c r="T43" s="34">
        <v>9.8611111111111108E-2</v>
      </c>
      <c r="U43" s="21"/>
      <c r="V43" s="291">
        <f t="shared" ref="V43:V46" si="33">(T43-S43)*24*60</f>
        <v>22</v>
      </c>
      <c r="W43" s="16">
        <f>T43</f>
        <v>9.8611111111111108E-2</v>
      </c>
      <c r="X43" s="16">
        <f>S44</f>
        <v>0.11805555555555555</v>
      </c>
      <c r="Y43" s="19"/>
      <c r="Z43" s="19"/>
      <c r="AA43" s="624"/>
      <c r="AB43" s="625"/>
      <c r="AC43" s="35">
        <v>4</v>
      </c>
      <c r="AD43" s="18"/>
      <c r="AE43" s="14">
        <f t="shared" si="8"/>
        <v>-63.636363636363512</v>
      </c>
      <c r="AF43" s="285">
        <f t="shared" si="9"/>
        <v>0.96818181818181825</v>
      </c>
      <c r="AG43" s="635">
        <f>AF47</f>
        <v>0.95789610389610391</v>
      </c>
    </row>
    <row r="44" spans="1:33" ht="15.75" customHeight="1">
      <c r="A44" s="633" t="s">
        <v>180</v>
      </c>
      <c r="B44" s="29" t="s">
        <v>40</v>
      </c>
      <c r="C44" s="622" t="s">
        <v>42</v>
      </c>
      <c r="D44" s="623"/>
      <c r="E44" s="29">
        <v>35.119999999999997</v>
      </c>
      <c r="F44" s="293">
        <v>5032</v>
      </c>
      <c r="G44" s="286">
        <f t="shared" si="31"/>
        <v>176723.84</v>
      </c>
      <c r="H44" s="33" t="s">
        <v>57</v>
      </c>
      <c r="I44" s="290">
        <v>10</v>
      </c>
      <c r="J44" s="31">
        <v>3000</v>
      </c>
      <c r="K44" s="12">
        <f t="shared" si="1"/>
        <v>300</v>
      </c>
      <c r="L44" s="290">
        <v>10</v>
      </c>
      <c r="M44" s="13">
        <f t="shared" si="32"/>
        <v>2875.428571428572</v>
      </c>
      <c r="N44" s="13">
        <f t="shared" si="3"/>
        <v>287.5428571428572</v>
      </c>
      <c r="O44" s="14">
        <f t="shared" si="4"/>
        <v>0</v>
      </c>
      <c r="P44" s="15">
        <f t="shared" si="5"/>
        <v>-12.457142857142799</v>
      </c>
      <c r="Q44" s="285">
        <f t="shared" si="6"/>
        <v>0.9584761904761907</v>
      </c>
      <c r="R44" s="636"/>
      <c r="S44" s="34">
        <v>0.11805555555555555</v>
      </c>
      <c r="T44" s="34">
        <v>0.19097222222222221</v>
      </c>
      <c r="U44" s="286">
        <f t="shared" ref="U44:U46" si="34">(S44-T43)*24*60</f>
        <v>28</v>
      </c>
      <c r="V44" s="291">
        <f t="shared" si="33"/>
        <v>104.99999999999999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-124.57142857142799</v>
      </c>
      <c r="AF44" s="285">
        <f t="shared" si="9"/>
        <v>0.9584761904761907</v>
      </c>
      <c r="AG44" s="636"/>
    </row>
    <row r="45" spans="1:33" ht="15.75" customHeight="1">
      <c r="A45" s="633" t="s">
        <v>180</v>
      </c>
      <c r="B45" s="29" t="s">
        <v>40</v>
      </c>
      <c r="C45" s="622" t="s">
        <v>43</v>
      </c>
      <c r="D45" s="623"/>
      <c r="E45" s="29">
        <v>21.13</v>
      </c>
      <c r="F45" s="293">
        <v>4725</v>
      </c>
      <c r="G45" s="286">
        <f t="shared" si="31"/>
        <v>99839.25</v>
      </c>
      <c r="H45" s="33" t="s">
        <v>57</v>
      </c>
      <c r="I45" s="290">
        <v>10</v>
      </c>
      <c r="J45" s="31">
        <v>3000</v>
      </c>
      <c r="K45" s="12">
        <f t="shared" si="1"/>
        <v>300</v>
      </c>
      <c r="L45" s="290">
        <v>10</v>
      </c>
      <c r="M45" s="13">
        <f t="shared" si="32"/>
        <v>2863.6363636363644</v>
      </c>
      <c r="N45" s="13">
        <f t="shared" si="3"/>
        <v>286.36363636363643</v>
      </c>
      <c r="O45" s="14">
        <f t="shared" si="4"/>
        <v>0</v>
      </c>
      <c r="P45" s="15">
        <f t="shared" si="5"/>
        <v>-13.636363636363569</v>
      </c>
      <c r="Q45" s="285">
        <f t="shared" si="6"/>
        <v>0.95454545454545481</v>
      </c>
      <c r="R45" s="636"/>
      <c r="S45" s="34">
        <v>0.19444444444444442</v>
      </c>
      <c r="T45" s="34">
        <v>0.2631944444444444</v>
      </c>
      <c r="U45" s="286">
        <f t="shared" si="34"/>
        <v>4.9999999999999822</v>
      </c>
      <c r="V45" s="291">
        <f t="shared" si="33"/>
        <v>98.999999999999972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-136.36363636363558</v>
      </c>
      <c r="AF45" s="285">
        <f t="shared" si="9"/>
        <v>0.95454545454545481</v>
      </c>
      <c r="AG45" s="636"/>
    </row>
    <row r="46" spans="1:33" ht="15.75" customHeight="1">
      <c r="A46" s="633" t="s">
        <v>180</v>
      </c>
      <c r="B46" s="29" t="s">
        <v>40</v>
      </c>
      <c r="C46" s="622" t="s">
        <v>44</v>
      </c>
      <c r="D46" s="623"/>
      <c r="E46" s="29">
        <v>27.17</v>
      </c>
      <c r="F46" s="293">
        <v>6009</v>
      </c>
      <c r="G46" s="286">
        <f t="shared" si="31"/>
        <v>163264.53</v>
      </c>
      <c r="H46" s="33" t="s">
        <v>57</v>
      </c>
      <c r="I46" s="290">
        <v>10</v>
      </c>
      <c r="J46" s="31">
        <v>3000</v>
      </c>
      <c r="K46" s="12">
        <f t="shared" si="1"/>
        <v>300</v>
      </c>
      <c r="L46" s="290">
        <v>10</v>
      </c>
      <c r="M46" s="13">
        <f t="shared" si="32"/>
        <v>2861.4285714285711</v>
      </c>
      <c r="N46" s="13">
        <f t="shared" si="3"/>
        <v>286.14285714285711</v>
      </c>
      <c r="O46" s="14">
        <f t="shared" si="4"/>
        <v>0</v>
      </c>
      <c r="P46" s="15">
        <f t="shared" si="5"/>
        <v>-13.85714285714289</v>
      </c>
      <c r="Q46" s="285">
        <f t="shared" si="6"/>
        <v>0.95380952380952366</v>
      </c>
      <c r="R46" s="636"/>
      <c r="S46" s="34">
        <v>0.26666666666666661</v>
      </c>
      <c r="T46" s="34">
        <v>0.35416666666666663</v>
      </c>
      <c r="U46" s="286">
        <f t="shared" si="34"/>
        <v>4.9999999999999822</v>
      </c>
      <c r="V46" s="291">
        <f t="shared" si="33"/>
        <v>126.00000000000003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-138.5714285714289</v>
      </c>
      <c r="AF46" s="285">
        <f t="shared" si="9"/>
        <v>0.95380952380952366</v>
      </c>
      <c r="AG46" s="636"/>
    </row>
    <row r="47" spans="1:33" ht="15.75" customHeight="1">
      <c r="A47" s="634" t="s">
        <v>180</v>
      </c>
      <c r="B47" s="29" t="s">
        <v>1279</v>
      </c>
      <c r="C47" s="612"/>
      <c r="D47" s="613"/>
      <c r="E47" s="283"/>
      <c r="F47" s="293"/>
      <c r="G47" s="286"/>
      <c r="H47" s="293"/>
      <c r="I47" s="23">
        <v>10.75</v>
      </c>
      <c r="J47" s="31">
        <v>2750</v>
      </c>
      <c r="K47" s="12">
        <f t="shared" si="1"/>
        <v>255.81395348837211</v>
      </c>
      <c r="L47" s="23">
        <v>10.75</v>
      </c>
      <c r="M47" s="13">
        <f>AVERAGE(M43:M46)</f>
        <v>2634.2142857142858</v>
      </c>
      <c r="N47" s="12">
        <f t="shared" si="3"/>
        <v>245.04318936877078</v>
      </c>
      <c r="O47" s="14">
        <f t="shared" si="4"/>
        <v>0</v>
      </c>
      <c r="P47" s="15">
        <f t="shared" si="5"/>
        <v>-10.770764119601324</v>
      </c>
      <c r="Q47" s="285">
        <f t="shared" si="6"/>
        <v>0.95789610389610391</v>
      </c>
      <c r="R47" s="637"/>
      <c r="S47" s="34"/>
      <c r="T47" s="34"/>
      <c r="U47" s="286"/>
      <c r="V47" s="291"/>
      <c r="W47" s="16"/>
      <c r="X47" s="16"/>
      <c r="Y47" s="24">
        <f>SUM(Y43:Y46)</f>
        <v>0</v>
      </c>
      <c r="Z47" s="24">
        <f>SUM(Z43:Z46)</f>
        <v>0</v>
      </c>
      <c r="AA47" s="628"/>
      <c r="AB47" s="629"/>
      <c r="AC47" s="24">
        <v>4</v>
      </c>
      <c r="AD47" s="24">
        <f>SUM(AD43:AD46)</f>
        <v>0</v>
      </c>
      <c r="AE47" s="14">
        <f t="shared" si="8"/>
        <v>-115.78571428571422</v>
      </c>
      <c r="AF47" s="285">
        <f t="shared" si="9"/>
        <v>0.95789610389610391</v>
      </c>
      <c r="AG47" s="637"/>
    </row>
    <row r="48" spans="1:33" ht="15.75" customHeight="1">
      <c r="A48" s="630" t="s">
        <v>1280</v>
      </c>
      <c r="B48" s="29" t="s">
        <v>15</v>
      </c>
      <c r="C48" s="616" t="s">
        <v>47</v>
      </c>
      <c r="D48" s="616"/>
      <c r="E48" s="29">
        <v>51.75</v>
      </c>
      <c r="F48" s="32">
        <v>763</v>
      </c>
      <c r="G48" s="286">
        <f t="shared" ref="G48:G55" si="35">E48*F48</f>
        <v>39485.25</v>
      </c>
      <c r="H48" s="33" t="s">
        <v>57</v>
      </c>
      <c r="I48" s="290">
        <v>25</v>
      </c>
      <c r="J48" s="31">
        <v>2000</v>
      </c>
      <c r="K48" s="12">
        <f t="shared" si="1"/>
        <v>80</v>
      </c>
      <c r="L48" s="290">
        <v>25</v>
      </c>
      <c r="M48" s="13">
        <f t="shared" ref="M48" si="36">F48/V48*60</f>
        <v>1907.5000000000005</v>
      </c>
      <c r="N48" s="13">
        <f t="shared" si="3"/>
        <v>76.300000000000011</v>
      </c>
      <c r="O48" s="14">
        <f t="shared" si="4"/>
        <v>0</v>
      </c>
      <c r="P48" s="15">
        <f t="shared" si="5"/>
        <v>-3.6999999999999886</v>
      </c>
      <c r="Q48" s="285">
        <f t="shared" si="6"/>
        <v>0.9537500000000001</v>
      </c>
      <c r="R48" s="615">
        <f>Q56</f>
        <v>0.95659892505232813</v>
      </c>
      <c r="S48" s="34">
        <v>0.16666666666666666</v>
      </c>
      <c r="T48" s="34">
        <v>0.18333333333333332</v>
      </c>
      <c r="U48" s="21"/>
      <c r="V48" s="291">
        <f t="shared" ref="V48:V55" si="37">(T48-S48)*24*60</f>
        <v>23.999999999999993</v>
      </c>
      <c r="W48" s="16"/>
      <c r="X48" s="16"/>
      <c r="Y48" s="21"/>
      <c r="Z48" s="21"/>
      <c r="AA48" s="617"/>
      <c r="AB48" s="617"/>
      <c r="AC48" s="35">
        <v>8</v>
      </c>
      <c r="AD48" s="18"/>
      <c r="AE48" s="14">
        <f t="shared" si="8"/>
        <v>-92.499999999999545</v>
      </c>
      <c r="AF48" s="285">
        <f t="shared" si="9"/>
        <v>0.95375000000000021</v>
      </c>
      <c r="AG48" s="615">
        <f>AF56</f>
        <v>0.95659892505232824</v>
      </c>
    </row>
    <row r="49" spans="1:33" ht="15.75" customHeight="1">
      <c r="A49" s="630" t="s">
        <v>13</v>
      </c>
      <c r="B49" s="29" t="s">
        <v>15</v>
      </c>
      <c r="C49" s="616" t="s">
        <v>46</v>
      </c>
      <c r="D49" s="616"/>
      <c r="E49" s="29">
        <v>56.43</v>
      </c>
      <c r="F49" s="32">
        <v>1405</v>
      </c>
      <c r="G49" s="286">
        <f t="shared" si="35"/>
        <v>79284.149999999994</v>
      </c>
      <c r="H49" s="33" t="s">
        <v>57</v>
      </c>
      <c r="I49" s="290">
        <v>22</v>
      </c>
      <c r="J49" s="31">
        <v>2000</v>
      </c>
      <c r="K49" s="12">
        <f t="shared" si="1"/>
        <v>90.909090909090907</v>
      </c>
      <c r="L49" s="290">
        <v>22</v>
      </c>
      <c r="M49" s="13">
        <f>F49/V49*60</f>
        <v>1915.909090909091</v>
      </c>
      <c r="N49" s="13">
        <f t="shared" si="3"/>
        <v>87.086776859504141</v>
      </c>
      <c r="O49" s="14">
        <f t="shared" si="4"/>
        <v>0</v>
      </c>
      <c r="P49" s="15">
        <f t="shared" si="5"/>
        <v>-3.8223140495867653</v>
      </c>
      <c r="Q49" s="285">
        <f t="shared" si="6"/>
        <v>0.95795454545454561</v>
      </c>
      <c r="R49" s="615"/>
      <c r="S49" s="34">
        <v>0.18888888888888888</v>
      </c>
      <c r="T49" s="34">
        <v>0.21944444444444444</v>
      </c>
      <c r="U49" s="286">
        <f t="shared" ref="U49:U55" si="38">IF(S49=TIME(17,0,0),"",(S49-T48)*24*60)</f>
        <v>8.0000000000000107</v>
      </c>
      <c r="V49" s="291">
        <f t="shared" si="37"/>
        <v>44</v>
      </c>
      <c r="W49" s="16">
        <f>T49</f>
        <v>0.21944444444444444</v>
      </c>
      <c r="X49" s="16">
        <f>S50</f>
        <v>0.23680555555555552</v>
      </c>
      <c r="Y49" s="16"/>
      <c r="Z49" s="16"/>
      <c r="AA49" s="617"/>
      <c r="AB49" s="617"/>
      <c r="AC49" s="35"/>
      <c r="AD49" s="18"/>
      <c r="AE49" s="14">
        <f t="shared" si="8"/>
        <v>-84.090909090909008</v>
      </c>
      <c r="AF49" s="285">
        <f t="shared" si="9"/>
        <v>0.9579545454545455</v>
      </c>
      <c r="AG49" s="615"/>
    </row>
    <row r="50" spans="1:33" ht="15.75" customHeight="1">
      <c r="A50" s="630" t="s">
        <v>13</v>
      </c>
      <c r="B50" s="29" t="s">
        <v>19</v>
      </c>
      <c r="C50" s="622" t="s">
        <v>81</v>
      </c>
      <c r="D50" s="623"/>
      <c r="E50" s="29">
        <v>46</v>
      </c>
      <c r="F50" s="32">
        <v>3008</v>
      </c>
      <c r="G50" s="286">
        <f t="shared" si="35"/>
        <v>138368</v>
      </c>
      <c r="H50" s="33" t="s">
        <v>57</v>
      </c>
      <c r="I50" s="290">
        <v>16</v>
      </c>
      <c r="J50" s="31">
        <v>2000</v>
      </c>
      <c r="K50" s="12">
        <f t="shared" si="1"/>
        <v>125</v>
      </c>
      <c r="L50" s="290">
        <v>16</v>
      </c>
      <c r="M50" s="13">
        <f t="shared" ref="M50:M55" si="39">F50/V50*60</f>
        <v>1919.9999999999993</v>
      </c>
      <c r="N50" s="13">
        <f t="shared" si="3"/>
        <v>119.99999999999996</v>
      </c>
      <c r="O50" s="14">
        <f t="shared" si="4"/>
        <v>0</v>
      </c>
      <c r="P50" s="15">
        <f t="shared" si="5"/>
        <v>-5.0000000000000426</v>
      </c>
      <c r="Q50" s="285">
        <f t="shared" si="6"/>
        <v>0.95999999999999963</v>
      </c>
      <c r="R50" s="615"/>
      <c r="S50" s="34">
        <v>0.23680555555555552</v>
      </c>
      <c r="T50" s="34">
        <v>0.30208333333333331</v>
      </c>
      <c r="U50" s="286">
        <f t="shared" si="38"/>
        <v>24.99999999999995</v>
      </c>
      <c r="V50" s="291">
        <f t="shared" si="37"/>
        <v>94.000000000000028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-80.000000000000682</v>
      </c>
      <c r="AF50" s="285">
        <f t="shared" si="9"/>
        <v>0.95999999999999963</v>
      </c>
      <c r="AG50" s="615"/>
    </row>
    <row r="51" spans="1:33" ht="15.75" customHeight="1">
      <c r="A51" s="630" t="s">
        <v>13</v>
      </c>
      <c r="B51" s="29" t="s">
        <v>19</v>
      </c>
      <c r="C51" s="279" t="s">
        <v>945</v>
      </c>
      <c r="D51" s="280"/>
      <c r="E51" s="29">
        <v>46</v>
      </c>
      <c r="F51" s="32">
        <v>5623</v>
      </c>
      <c r="G51" s="286">
        <f t="shared" si="35"/>
        <v>258658</v>
      </c>
      <c r="H51" s="33" t="s">
        <v>57</v>
      </c>
      <c r="I51" s="290">
        <v>17</v>
      </c>
      <c r="J51" s="31">
        <v>2000</v>
      </c>
      <c r="K51" s="12">
        <f t="shared" si="1"/>
        <v>117.64705882352941</v>
      </c>
      <c r="L51" s="290">
        <v>17</v>
      </c>
      <c r="M51" s="13">
        <f t="shared" si="39"/>
        <v>1906.1016949152543</v>
      </c>
      <c r="N51" s="13">
        <f t="shared" si="3"/>
        <v>112.12362911266202</v>
      </c>
      <c r="O51" s="14">
        <f t="shared" si="4"/>
        <v>0</v>
      </c>
      <c r="P51" s="15">
        <f t="shared" si="5"/>
        <v>-5.52342971086739</v>
      </c>
      <c r="Q51" s="285">
        <f t="shared" si="6"/>
        <v>0.95305084745762714</v>
      </c>
      <c r="R51" s="615"/>
      <c r="S51" s="34">
        <v>0.30555555555555552</v>
      </c>
      <c r="T51" s="34">
        <v>0.4284722222222222</v>
      </c>
      <c r="U51" s="286">
        <f t="shared" si="38"/>
        <v>4.9999999999999822</v>
      </c>
      <c r="V51" s="291">
        <f t="shared" si="37"/>
        <v>177</v>
      </c>
      <c r="W51" s="16"/>
      <c r="X51" s="16"/>
      <c r="Y51" s="19"/>
      <c r="Z51" s="19"/>
      <c r="AA51" s="617"/>
      <c r="AB51" s="617"/>
      <c r="AC51" s="35"/>
      <c r="AD51" s="18"/>
      <c r="AE51" s="14">
        <f t="shared" si="8"/>
        <v>-93.898305084745743</v>
      </c>
      <c r="AF51" s="285">
        <f t="shared" si="9"/>
        <v>0.95305084745762714</v>
      </c>
      <c r="AG51" s="615"/>
    </row>
    <row r="52" spans="1:33" ht="15.75" customHeight="1">
      <c r="A52" s="630" t="s">
        <v>13</v>
      </c>
      <c r="B52" s="29" t="s">
        <v>15</v>
      </c>
      <c r="C52" s="279" t="s">
        <v>27</v>
      </c>
      <c r="D52" s="280"/>
      <c r="E52" s="29">
        <v>59.04</v>
      </c>
      <c r="F52" s="32">
        <v>2413</v>
      </c>
      <c r="G52" s="286">
        <f t="shared" si="35"/>
        <v>142463.51999999999</v>
      </c>
      <c r="H52" s="33" t="s">
        <v>57</v>
      </c>
      <c r="I52" s="290">
        <v>19</v>
      </c>
      <c r="J52" s="31">
        <v>2000</v>
      </c>
      <c r="K52" s="12">
        <f t="shared" si="1"/>
        <v>105.26315789473684</v>
      </c>
      <c r="L52" s="290">
        <v>19</v>
      </c>
      <c r="M52" s="13">
        <f t="shared" si="39"/>
        <v>1905.0000000000007</v>
      </c>
      <c r="N52" s="13">
        <f t="shared" si="3"/>
        <v>100.26315789473688</v>
      </c>
      <c r="O52" s="14">
        <f t="shared" si="4"/>
        <v>0</v>
      </c>
      <c r="P52" s="15">
        <f t="shared" si="5"/>
        <v>-4.9999999999999574</v>
      </c>
      <c r="Q52" s="285">
        <f t="shared" si="6"/>
        <v>0.95250000000000046</v>
      </c>
      <c r="R52" s="615"/>
      <c r="S52" s="34">
        <v>0.43402777777777773</v>
      </c>
      <c r="T52" s="34">
        <v>0.48680555555555549</v>
      </c>
      <c r="U52" s="286">
        <f t="shared" si="38"/>
        <v>7.9999999999999716</v>
      </c>
      <c r="V52" s="291">
        <f t="shared" si="37"/>
        <v>75.999999999999972</v>
      </c>
      <c r="W52" s="16"/>
      <c r="X52" s="16"/>
      <c r="Y52" s="19"/>
      <c r="Z52" s="19"/>
      <c r="AA52" s="617"/>
      <c r="AB52" s="617"/>
      <c r="AC52" s="35"/>
      <c r="AD52" s="18"/>
      <c r="AE52" s="14">
        <f t="shared" si="8"/>
        <v>-94.999999999999318</v>
      </c>
      <c r="AF52" s="285">
        <f t="shared" si="9"/>
        <v>0.95250000000000035</v>
      </c>
      <c r="AG52" s="615"/>
    </row>
    <row r="53" spans="1:33" ht="15.75" customHeight="1">
      <c r="A53" s="630" t="s">
        <v>13</v>
      </c>
      <c r="B53" s="29" t="s">
        <v>15</v>
      </c>
      <c r="C53" s="622" t="s">
        <v>48</v>
      </c>
      <c r="D53" s="623"/>
      <c r="E53" s="29">
        <v>55.56</v>
      </c>
      <c r="F53" s="32">
        <v>2026</v>
      </c>
      <c r="G53" s="286">
        <f t="shared" si="35"/>
        <v>112564.56</v>
      </c>
      <c r="H53" s="33" t="s">
        <v>57</v>
      </c>
      <c r="I53" s="290">
        <v>17</v>
      </c>
      <c r="J53" s="31">
        <v>2000</v>
      </c>
      <c r="K53" s="12">
        <f t="shared" si="1"/>
        <v>117.64705882352941</v>
      </c>
      <c r="L53" s="290">
        <v>17</v>
      </c>
      <c r="M53" s="13">
        <f t="shared" si="39"/>
        <v>1929.5238095238117</v>
      </c>
      <c r="N53" s="13">
        <f t="shared" si="3"/>
        <v>113.50140056022421</v>
      </c>
      <c r="O53" s="14">
        <f t="shared" si="4"/>
        <v>0</v>
      </c>
      <c r="P53" s="15">
        <f t="shared" si="5"/>
        <v>-4.1456582633051937</v>
      </c>
      <c r="Q53" s="285">
        <f t="shared" si="6"/>
        <v>0.96476190476190582</v>
      </c>
      <c r="R53" s="615"/>
      <c r="S53" s="34">
        <v>0.70833333333333337</v>
      </c>
      <c r="T53" s="34">
        <v>0.75208333333333333</v>
      </c>
      <c r="U53" s="286" t="str">
        <f t="shared" si="38"/>
        <v/>
      </c>
      <c r="V53" s="291">
        <f t="shared" si="37"/>
        <v>62.999999999999936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-70.476190476188322</v>
      </c>
      <c r="AF53" s="285">
        <f t="shared" si="9"/>
        <v>0.96476190476190582</v>
      </c>
      <c r="AG53" s="615"/>
    </row>
    <row r="54" spans="1:33" ht="15.75" customHeight="1">
      <c r="A54" s="630" t="s">
        <v>13</v>
      </c>
      <c r="B54" s="29" t="s">
        <v>15</v>
      </c>
      <c r="C54" s="622" t="s">
        <v>841</v>
      </c>
      <c r="D54" s="623"/>
      <c r="E54" s="29">
        <v>54.09</v>
      </c>
      <c r="F54" s="32">
        <v>1558</v>
      </c>
      <c r="G54" s="286">
        <f t="shared" si="35"/>
        <v>84272.22</v>
      </c>
      <c r="H54" s="33" t="s">
        <v>57</v>
      </c>
      <c r="I54" s="290">
        <v>13</v>
      </c>
      <c r="J54" s="31">
        <v>2000</v>
      </c>
      <c r="K54" s="12">
        <f t="shared" si="1"/>
        <v>153.84615384615384</v>
      </c>
      <c r="L54" s="290">
        <v>13</v>
      </c>
      <c r="M54" s="13">
        <f t="shared" si="39"/>
        <v>1907.7551020408171</v>
      </c>
      <c r="N54" s="13">
        <f t="shared" si="3"/>
        <v>146.75039246467824</v>
      </c>
      <c r="O54" s="14">
        <f t="shared" si="4"/>
        <v>0</v>
      </c>
      <c r="P54" s="15">
        <f t="shared" si="5"/>
        <v>-7.0957613814755973</v>
      </c>
      <c r="Q54" s="285">
        <f t="shared" si="6"/>
        <v>0.95387755102040861</v>
      </c>
      <c r="R54" s="615"/>
      <c r="S54" s="34">
        <v>0.75555555555555554</v>
      </c>
      <c r="T54" s="34">
        <v>0.7895833333333333</v>
      </c>
      <c r="U54" s="286">
        <f t="shared" si="38"/>
        <v>4.9999999999999822</v>
      </c>
      <c r="V54" s="291">
        <f t="shared" si="37"/>
        <v>48.999999999999986</v>
      </c>
      <c r="W54" s="16"/>
      <c r="X54" s="16"/>
      <c r="Y54" s="19"/>
      <c r="Z54" s="19"/>
      <c r="AA54" s="624"/>
      <c r="AB54" s="625"/>
      <c r="AC54" s="35"/>
      <c r="AD54" s="18"/>
      <c r="AE54" s="14">
        <f t="shared" si="8"/>
        <v>-92.244897959182936</v>
      </c>
      <c r="AF54" s="285">
        <f t="shared" si="9"/>
        <v>0.9538775510204085</v>
      </c>
      <c r="AG54" s="615"/>
    </row>
    <row r="55" spans="1:33" ht="15.75" customHeight="1">
      <c r="A55" s="630" t="s">
        <v>13</v>
      </c>
      <c r="B55" s="29" t="s">
        <v>15</v>
      </c>
      <c r="C55" s="622" t="s">
        <v>85</v>
      </c>
      <c r="D55" s="623"/>
      <c r="E55" s="29">
        <v>56.43</v>
      </c>
      <c r="F55" s="32">
        <v>1850</v>
      </c>
      <c r="G55" s="286">
        <f t="shared" si="35"/>
        <v>104395.5</v>
      </c>
      <c r="H55" s="33" t="s">
        <v>57</v>
      </c>
      <c r="I55" s="290">
        <v>13</v>
      </c>
      <c r="J55" s="31">
        <v>2000</v>
      </c>
      <c r="K55" s="12">
        <f t="shared" si="1"/>
        <v>153.84615384615384</v>
      </c>
      <c r="L55" s="290">
        <v>13</v>
      </c>
      <c r="M55" s="13">
        <f t="shared" si="39"/>
        <v>1913.7931034482772</v>
      </c>
      <c r="N55" s="13">
        <f t="shared" si="3"/>
        <v>147.21485411140594</v>
      </c>
      <c r="O55" s="14">
        <f t="shared" si="4"/>
        <v>0</v>
      </c>
      <c r="P55" s="15">
        <f t="shared" si="5"/>
        <v>-6.6312997347478984</v>
      </c>
      <c r="Q55" s="285">
        <f t="shared" si="6"/>
        <v>0.95689655172413868</v>
      </c>
      <c r="R55" s="615"/>
      <c r="S55" s="34">
        <v>0.79513888888888884</v>
      </c>
      <c r="T55" s="34">
        <v>0.83541666666666659</v>
      </c>
      <c r="U55" s="286">
        <f t="shared" si="38"/>
        <v>7.9999999999999716</v>
      </c>
      <c r="V55" s="291">
        <f t="shared" si="37"/>
        <v>57.999999999999957</v>
      </c>
      <c r="W55" s="16"/>
      <c r="X55" s="16"/>
      <c r="Y55" s="19"/>
      <c r="Z55" s="19"/>
      <c r="AA55" s="624"/>
      <c r="AB55" s="625"/>
      <c r="AC55" s="35"/>
      <c r="AD55" s="18"/>
      <c r="AE55" s="14">
        <f t="shared" si="8"/>
        <v>-86.206896551722821</v>
      </c>
      <c r="AF55" s="285">
        <f t="shared" si="9"/>
        <v>0.95689655172413857</v>
      </c>
      <c r="AG55" s="615"/>
    </row>
    <row r="56" spans="1:33">
      <c r="A56" s="631" t="s">
        <v>13</v>
      </c>
      <c r="B56" s="29" t="s">
        <v>6</v>
      </c>
      <c r="C56" s="618"/>
      <c r="D56" s="618"/>
      <c r="E56" s="287"/>
      <c r="F56" s="30"/>
      <c r="G56" s="12"/>
      <c r="H56" s="293"/>
      <c r="I56" s="23">
        <v>17.75</v>
      </c>
      <c r="J56" s="31">
        <v>2000</v>
      </c>
      <c r="K56" s="12">
        <f t="shared" si="1"/>
        <v>112.67605633802818</v>
      </c>
      <c r="L56" s="23">
        <v>17.75</v>
      </c>
      <c r="M56" s="13">
        <f>AVERAGE(M48:M55)</f>
        <v>1913.1978501046565</v>
      </c>
      <c r="N56" s="12">
        <f t="shared" si="3"/>
        <v>107.78579437209332</v>
      </c>
      <c r="O56" s="14">
        <f t="shared" si="4"/>
        <v>0</v>
      </c>
      <c r="P56" s="15">
        <f t="shared" si="5"/>
        <v>-4.8902619659348545</v>
      </c>
      <c r="Q56" s="285">
        <f t="shared" si="6"/>
        <v>0.95659892505232813</v>
      </c>
      <c r="R56" s="615"/>
      <c r="S56" s="34"/>
      <c r="T56" s="34"/>
      <c r="U56" s="286"/>
      <c r="V56" s="291"/>
      <c r="W56" s="12"/>
      <c r="X56" s="12"/>
      <c r="Y56" s="24">
        <f>SUM(Y48:Y55)</f>
        <v>0</v>
      </c>
      <c r="Z56" s="24">
        <f>SUM(Z48:Z55)</f>
        <v>0</v>
      </c>
      <c r="AA56" s="614"/>
      <c r="AB56" s="614"/>
      <c r="AC56" s="24">
        <v>8</v>
      </c>
      <c r="AD56" s="24">
        <f>SUM(AD48:AD55)</f>
        <v>0</v>
      </c>
      <c r="AE56" s="14">
        <f>M56-J56</f>
        <v>-86.802149895343518</v>
      </c>
      <c r="AF56" s="285">
        <f t="shared" si="9"/>
        <v>0.95659892505232824</v>
      </c>
      <c r="AG56" s="615"/>
    </row>
    <row r="57" spans="1:33" ht="15.75" customHeight="1">
      <c r="A57" s="626" t="s">
        <v>182</v>
      </c>
      <c r="B57" s="293" t="s">
        <v>40</v>
      </c>
      <c r="C57" s="616" t="s">
        <v>49</v>
      </c>
      <c r="D57" s="616"/>
      <c r="E57" s="29">
        <v>34.36</v>
      </c>
      <c r="F57" s="32">
        <v>2099</v>
      </c>
      <c r="G57" s="286">
        <f t="shared" ref="G57:G61" si="40">E57*F57</f>
        <v>72121.64</v>
      </c>
      <c r="H57" s="33" t="s">
        <v>57</v>
      </c>
      <c r="I57" s="290">
        <v>10</v>
      </c>
      <c r="J57" s="31">
        <v>3000</v>
      </c>
      <c r="K57" s="12">
        <f t="shared" si="1"/>
        <v>300</v>
      </c>
      <c r="L57" s="290">
        <v>10</v>
      </c>
      <c r="M57" s="13">
        <f t="shared" ref="M57:M61" si="41">F57/V57*60</f>
        <v>2862.272727272727</v>
      </c>
      <c r="N57" s="12">
        <f t="shared" si="3"/>
        <v>286.22727272727269</v>
      </c>
      <c r="O57" s="14">
        <f t="shared" si="4"/>
        <v>0</v>
      </c>
      <c r="P57" s="15">
        <f t="shared" si="5"/>
        <v>-13.772727272727309</v>
      </c>
      <c r="Q57" s="285">
        <f t="shared" si="6"/>
        <v>0.95409090909090899</v>
      </c>
      <c r="R57" s="615">
        <f>Q62</f>
        <v>0.95906893123663295</v>
      </c>
      <c r="S57" s="34">
        <v>0.20833333333333334</v>
      </c>
      <c r="T57" s="34">
        <v>0.2388888888888889</v>
      </c>
      <c r="U57" s="286"/>
      <c r="V57" s="291">
        <f t="shared" ref="V57:V61" si="42">(T57-S57)*24*60</f>
        <v>44</v>
      </c>
      <c r="W57" s="16"/>
      <c r="X57" s="16"/>
      <c r="Y57" s="21"/>
      <c r="Z57" s="21"/>
      <c r="AA57" s="617"/>
      <c r="AB57" s="617"/>
      <c r="AC57" s="35">
        <v>5</v>
      </c>
      <c r="AD57" s="18"/>
      <c r="AE57" s="14">
        <f t="shared" ref="AE57:AE69" si="43">M57-J57</f>
        <v>-137.72727272727298</v>
      </c>
      <c r="AF57" s="285">
        <f t="shared" si="9"/>
        <v>0.95409090909090899</v>
      </c>
      <c r="AG57" s="615">
        <f>AF62</f>
        <v>0.95906893123663306</v>
      </c>
    </row>
    <row r="58" spans="1:33" ht="15.75" customHeight="1">
      <c r="A58" s="626" t="s">
        <v>182</v>
      </c>
      <c r="B58" s="293" t="s">
        <v>40</v>
      </c>
      <c r="C58" s="616" t="s">
        <v>50</v>
      </c>
      <c r="D58" s="616"/>
      <c r="E58" s="29">
        <v>34.36</v>
      </c>
      <c r="F58" s="32">
        <v>1106</v>
      </c>
      <c r="G58" s="286">
        <f t="shared" si="40"/>
        <v>38002.159999999996</v>
      </c>
      <c r="H58" s="33" t="s">
        <v>57</v>
      </c>
      <c r="I58" s="290">
        <v>10</v>
      </c>
      <c r="J58" s="31">
        <v>3000</v>
      </c>
      <c r="K58" s="12">
        <f t="shared" si="1"/>
        <v>300</v>
      </c>
      <c r="L58" s="290">
        <v>10</v>
      </c>
      <c r="M58" s="13">
        <f t="shared" si="41"/>
        <v>2885.217391304348</v>
      </c>
      <c r="N58" s="12">
        <f t="shared" si="3"/>
        <v>288.52173913043481</v>
      </c>
      <c r="O58" s="14">
        <f t="shared" si="4"/>
        <v>0</v>
      </c>
      <c r="P58" s="15">
        <f t="shared" si="5"/>
        <v>-11.47826086956519</v>
      </c>
      <c r="Q58" s="285">
        <f t="shared" si="6"/>
        <v>0.96173913043478265</v>
      </c>
      <c r="R58" s="615"/>
      <c r="S58" s="34">
        <v>0.24305555555555558</v>
      </c>
      <c r="T58" s="34">
        <v>0.2590277777777778</v>
      </c>
      <c r="U58" s="286">
        <f t="shared" ref="U58:U61" si="44">(S58-T57)*24*60</f>
        <v>6.0000000000000187</v>
      </c>
      <c r="V58" s="291">
        <f t="shared" si="42"/>
        <v>23</v>
      </c>
      <c r="W58" s="286"/>
      <c r="X58" s="286"/>
      <c r="Y58" s="286"/>
      <c r="Z58" s="286"/>
      <c r="AA58" s="617"/>
      <c r="AB58" s="617"/>
      <c r="AC58" s="35"/>
      <c r="AD58" s="18"/>
      <c r="AE58" s="14">
        <f t="shared" si="43"/>
        <v>-114.78260869565202</v>
      </c>
      <c r="AF58" s="285">
        <f t="shared" si="9"/>
        <v>0.96173913043478265</v>
      </c>
      <c r="AG58" s="615"/>
    </row>
    <row r="59" spans="1:33" ht="15.75" customHeight="1">
      <c r="A59" s="626" t="s">
        <v>182</v>
      </c>
      <c r="B59" s="293" t="s">
        <v>40</v>
      </c>
      <c r="C59" s="616" t="s">
        <v>51</v>
      </c>
      <c r="D59" s="616"/>
      <c r="E59" s="29">
        <v>26.78</v>
      </c>
      <c r="F59" s="32">
        <v>2372</v>
      </c>
      <c r="G59" s="286">
        <f t="shared" si="40"/>
        <v>63522.16</v>
      </c>
      <c r="H59" s="33" t="s">
        <v>57</v>
      </c>
      <c r="I59" s="290">
        <v>10</v>
      </c>
      <c r="J59" s="31">
        <v>3000</v>
      </c>
      <c r="K59" s="12">
        <f t="shared" si="1"/>
        <v>300</v>
      </c>
      <c r="L59" s="290">
        <v>10</v>
      </c>
      <c r="M59" s="13">
        <f t="shared" si="41"/>
        <v>2904.4897959183681</v>
      </c>
      <c r="N59" s="12">
        <f t="shared" si="3"/>
        <v>290.4489795918368</v>
      </c>
      <c r="O59" s="14">
        <f t="shared" si="4"/>
        <v>0</v>
      </c>
      <c r="P59" s="15">
        <f t="shared" si="5"/>
        <v>-9.5510204081631969</v>
      </c>
      <c r="Q59" s="285">
        <f t="shared" si="6"/>
        <v>0.96816326530612262</v>
      </c>
      <c r="R59" s="615"/>
      <c r="S59" s="34">
        <v>0.2638888888888889</v>
      </c>
      <c r="T59" s="34">
        <v>0.29791666666666666</v>
      </c>
      <c r="U59" s="286">
        <f t="shared" si="44"/>
        <v>6.9999999999999751</v>
      </c>
      <c r="V59" s="291">
        <f t="shared" si="42"/>
        <v>48.999999999999986</v>
      </c>
      <c r="W59" s="286"/>
      <c r="X59" s="286"/>
      <c r="Y59" s="286"/>
      <c r="Z59" s="286"/>
      <c r="AA59" s="617"/>
      <c r="AB59" s="617"/>
      <c r="AC59" s="35"/>
      <c r="AD59" s="18"/>
      <c r="AE59" s="14">
        <f t="shared" si="43"/>
        <v>-95.510204081631855</v>
      </c>
      <c r="AF59" s="285">
        <f t="shared" si="9"/>
        <v>0.96816326530612273</v>
      </c>
      <c r="AG59" s="615"/>
    </row>
    <row r="60" spans="1:33" ht="15.75" customHeight="1">
      <c r="A60" s="626" t="s">
        <v>182</v>
      </c>
      <c r="B60" s="293" t="s">
        <v>40</v>
      </c>
      <c r="C60" s="616" t="s">
        <v>52</v>
      </c>
      <c r="D60" s="616"/>
      <c r="E60" s="29">
        <v>35.869999999999997</v>
      </c>
      <c r="F60" s="32">
        <v>3550</v>
      </c>
      <c r="G60" s="286">
        <f t="shared" si="40"/>
        <v>127338.49999999999</v>
      </c>
      <c r="H60" s="33" t="s">
        <v>57</v>
      </c>
      <c r="I60" s="290">
        <v>9</v>
      </c>
      <c r="J60" s="31">
        <v>3000</v>
      </c>
      <c r="K60" s="12">
        <f t="shared" si="1"/>
        <v>333.33333333333331</v>
      </c>
      <c r="L60" s="290">
        <v>9</v>
      </c>
      <c r="M60" s="13">
        <f t="shared" si="41"/>
        <v>2878.3783783783792</v>
      </c>
      <c r="N60" s="12">
        <f t="shared" si="3"/>
        <v>319.81981981981994</v>
      </c>
      <c r="O60" s="14">
        <f t="shared" si="4"/>
        <v>0</v>
      </c>
      <c r="P60" s="15">
        <f t="shared" si="5"/>
        <v>-13.513513513513374</v>
      </c>
      <c r="Q60" s="285">
        <f t="shared" si="6"/>
        <v>0.95945945945945987</v>
      </c>
      <c r="R60" s="615"/>
      <c r="S60" s="34">
        <v>0.30138888888888887</v>
      </c>
      <c r="T60" s="34">
        <v>0.35277777777777775</v>
      </c>
      <c r="U60" s="286">
        <f t="shared" si="44"/>
        <v>4.9999999999999822</v>
      </c>
      <c r="V60" s="291">
        <f t="shared" si="42"/>
        <v>73.999999999999972</v>
      </c>
      <c r="W60" s="286"/>
      <c r="X60" s="286"/>
      <c r="Y60" s="286"/>
      <c r="Z60" s="286"/>
      <c r="AA60" s="617"/>
      <c r="AB60" s="617"/>
      <c r="AC60" s="35"/>
      <c r="AD60" s="18"/>
      <c r="AE60" s="14">
        <f t="shared" si="43"/>
        <v>-121.62162162162076</v>
      </c>
      <c r="AF60" s="285">
        <f t="shared" si="9"/>
        <v>0.95945945945945976</v>
      </c>
      <c r="AG60" s="615"/>
    </row>
    <row r="61" spans="1:33">
      <c r="A61" s="627" t="s">
        <v>182</v>
      </c>
      <c r="B61" s="293" t="s">
        <v>40</v>
      </c>
      <c r="C61" s="616" t="s">
        <v>53</v>
      </c>
      <c r="D61" s="616"/>
      <c r="E61" s="29">
        <v>34.35</v>
      </c>
      <c r="F61" s="32">
        <v>1761</v>
      </c>
      <c r="G61" s="286">
        <f t="shared" si="40"/>
        <v>60490.350000000006</v>
      </c>
      <c r="H61" s="33" t="s">
        <v>57</v>
      </c>
      <c r="I61" s="290">
        <v>8</v>
      </c>
      <c r="J61" s="31">
        <v>3000</v>
      </c>
      <c r="K61" s="12">
        <f t="shared" si="1"/>
        <v>375</v>
      </c>
      <c r="L61" s="290">
        <v>8</v>
      </c>
      <c r="M61" s="13">
        <f t="shared" si="41"/>
        <v>2855.6756756756736</v>
      </c>
      <c r="N61" s="12">
        <f t="shared" si="3"/>
        <v>356.9594594594592</v>
      </c>
      <c r="O61" s="14">
        <f t="shared" si="4"/>
        <v>0</v>
      </c>
      <c r="P61" s="15">
        <f t="shared" si="5"/>
        <v>-18.040540540540803</v>
      </c>
      <c r="Q61" s="285">
        <f t="shared" si="6"/>
        <v>0.95189189189189116</v>
      </c>
      <c r="R61" s="615"/>
      <c r="S61" s="34">
        <v>0.35624999999999996</v>
      </c>
      <c r="T61" s="34">
        <v>0.38194444444444442</v>
      </c>
      <c r="U61" s="286">
        <f t="shared" si="44"/>
        <v>4.9999999999999822</v>
      </c>
      <c r="V61" s="291">
        <f t="shared" si="42"/>
        <v>37.000000000000028</v>
      </c>
      <c r="W61" s="16"/>
      <c r="X61" s="16"/>
      <c r="Y61" s="16"/>
      <c r="Z61" s="16"/>
      <c r="AA61" s="617"/>
      <c r="AB61" s="617"/>
      <c r="AC61" s="35"/>
      <c r="AD61" s="18"/>
      <c r="AE61" s="14">
        <f t="shared" si="43"/>
        <v>-144.32432432432643</v>
      </c>
      <c r="AF61" s="285">
        <f t="shared" si="9"/>
        <v>0.95189189189189116</v>
      </c>
      <c r="AG61" s="615"/>
    </row>
    <row r="62" spans="1:33">
      <c r="A62" s="627" t="s">
        <v>182</v>
      </c>
      <c r="B62" s="29" t="s">
        <v>6</v>
      </c>
      <c r="C62" s="618"/>
      <c r="D62" s="618"/>
      <c r="E62" s="287"/>
      <c r="F62" s="30"/>
      <c r="G62" s="12"/>
      <c r="H62" s="293"/>
      <c r="I62" s="23">
        <v>9.4</v>
      </c>
      <c r="J62" s="31">
        <v>3000</v>
      </c>
      <c r="K62" s="12">
        <f t="shared" si="1"/>
        <v>319.14893617021278</v>
      </c>
      <c r="L62" s="23">
        <v>9.4</v>
      </c>
      <c r="M62" s="13">
        <f>AVERAGE(M57:M61)</f>
        <v>2877.2067937098991</v>
      </c>
      <c r="N62" s="12">
        <f t="shared" si="3"/>
        <v>306.08582911807434</v>
      </c>
      <c r="O62" s="14">
        <f t="shared" si="4"/>
        <v>0</v>
      </c>
      <c r="P62" s="15">
        <f t="shared" si="5"/>
        <v>-13.063107052138434</v>
      </c>
      <c r="Q62" s="285">
        <f t="shared" si="6"/>
        <v>0.95906893123663295</v>
      </c>
      <c r="R62" s="615"/>
      <c r="S62" s="34"/>
      <c r="T62" s="34"/>
      <c r="U62" s="12"/>
      <c r="V62" s="291"/>
      <c r="W62" s="12"/>
      <c r="X62" s="12"/>
      <c r="Y62" s="24">
        <f>SUM(Y57:Y61)</f>
        <v>0</v>
      </c>
      <c r="Z62" s="24">
        <f>SUM(Z57:Z61)</f>
        <v>0</v>
      </c>
      <c r="AA62" s="614"/>
      <c r="AB62" s="614"/>
      <c r="AC62" s="24">
        <v>5</v>
      </c>
      <c r="AD62" s="24">
        <f>SUM(AD57:AD61)</f>
        <v>0</v>
      </c>
      <c r="AE62" s="14">
        <f t="shared" si="43"/>
        <v>-122.7932062901009</v>
      </c>
      <c r="AF62" s="285">
        <f t="shared" si="9"/>
        <v>0.95906893123663306</v>
      </c>
      <c r="AG62" s="615"/>
    </row>
    <row r="63" spans="1:33" ht="15.75" customHeight="1">
      <c r="A63" s="619" t="s">
        <v>14</v>
      </c>
      <c r="B63" s="293" t="s">
        <v>32</v>
      </c>
      <c r="C63" s="616" t="s">
        <v>56</v>
      </c>
      <c r="D63" s="616"/>
      <c r="E63" s="29">
        <v>19.02</v>
      </c>
      <c r="F63" s="293">
        <v>8907</v>
      </c>
      <c r="G63" s="286">
        <f t="shared" ref="G63:G68" si="45">E63*F63</f>
        <v>169411.13999999998</v>
      </c>
      <c r="H63" s="33" t="s">
        <v>57</v>
      </c>
      <c r="I63" s="290">
        <v>14</v>
      </c>
      <c r="J63" s="31">
        <v>2400</v>
      </c>
      <c r="K63" s="12">
        <f t="shared" si="1"/>
        <v>171.42857142857142</v>
      </c>
      <c r="L63" s="290">
        <v>14</v>
      </c>
      <c r="M63" s="13">
        <f t="shared" ref="M63:M68" si="46">F63/V63*60</f>
        <v>2283.8461538461534</v>
      </c>
      <c r="N63" s="12">
        <f t="shared" si="3"/>
        <v>163.13186813186809</v>
      </c>
      <c r="O63" s="14">
        <f t="shared" si="4"/>
        <v>0</v>
      </c>
      <c r="P63" s="15">
        <f t="shared" si="5"/>
        <v>-8.2967032967033276</v>
      </c>
      <c r="Q63" s="285">
        <f t="shared" si="6"/>
        <v>0.95160256410256394</v>
      </c>
      <c r="R63" s="615">
        <f>Q69</f>
        <v>0.9560018061082014</v>
      </c>
      <c r="S63" s="34">
        <v>8.3333333333333329E-2</v>
      </c>
      <c r="T63" s="34">
        <v>0.24583333333333335</v>
      </c>
      <c r="U63" s="21"/>
      <c r="V63" s="291">
        <f t="shared" ref="V63:V68" si="47">(T63-S63)*24*60</f>
        <v>234.00000000000006</v>
      </c>
      <c r="W63" s="16">
        <f>T63</f>
        <v>0.24583333333333335</v>
      </c>
      <c r="X63" s="16">
        <f>S64</f>
        <v>0.26666666666666666</v>
      </c>
      <c r="Y63" s="16"/>
      <c r="Z63" s="16"/>
      <c r="AA63" s="617"/>
      <c r="AB63" s="617"/>
      <c r="AC63" s="35">
        <v>6</v>
      </c>
      <c r="AD63" s="18"/>
      <c r="AE63" s="14">
        <f t="shared" si="43"/>
        <v>-116.15384615384664</v>
      </c>
      <c r="AF63" s="285">
        <f t="shared" si="9"/>
        <v>0.95160256410256394</v>
      </c>
      <c r="AG63" s="615">
        <f>AF69</f>
        <v>0.95600180610820129</v>
      </c>
    </row>
    <row r="64" spans="1:33" ht="15.75" customHeight="1">
      <c r="A64" s="620" t="s">
        <v>1281</v>
      </c>
      <c r="B64" s="293" t="s">
        <v>32</v>
      </c>
      <c r="C64" s="616" t="s">
        <v>36</v>
      </c>
      <c r="D64" s="616"/>
      <c r="E64" s="29">
        <v>20.36</v>
      </c>
      <c r="F64" s="293">
        <v>3663</v>
      </c>
      <c r="G64" s="286">
        <f t="shared" si="45"/>
        <v>74578.679999999993</v>
      </c>
      <c r="H64" s="33" t="s">
        <v>57</v>
      </c>
      <c r="I64" s="290">
        <v>17</v>
      </c>
      <c r="J64" s="31">
        <v>2400</v>
      </c>
      <c r="K64" s="12">
        <f t="shared" si="1"/>
        <v>141.1764705882353</v>
      </c>
      <c r="L64" s="290">
        <v>17</v>
      </c>
      <c r="M64" s="13">
        <f t="shared" si="46"/>
        <v>2289.3750000000009</v>
      </c>
      <c r="N64" s="12">
        <f t="shared" si="3"/>
        <v>134.66911764705887</v>
      </c>
      <c r="O64" s="14">
        <f t="shared" si="4"/>
        <v>0</v>
      </c>
      <c r="P64" s="15">
        <f t="shared" si="5"/>
        <v>-6.5073529411764355</v>
      </c>
      <c r="Q64" s="285">
        <f t="shared" si="6"/>
        <v>0.95390625000000029</v>
      </c>
      <c r="R64" s="615"/>
      <c r="S64" s="34">
        <v>0.26666666666666666</v>
      </c>
      <c r="T64" s="34">
        <v>0.33333333333333331</v>
      </c>
      <c r="U64" s="286">
        <f t="shared" ref="U64:U68" si="48">(S64-T63)*24*60</f>
        <v>29.999999999999972</v>
      </c>
      <c r="V64" s="291">
        <f t="shared" si="47"/>
        <v>95.999999999999972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-110.62499999999909</v>
      </c>
      <c r="AF64" s="285">
        <f t="shared" si="9"/>
        <v>0.9539062500000004</v>
      </c>
      <c r="AG64" s="615"/>
    </row>
    <row r="65" spans="1:33" ht="15.75" customHeight="1">
      <c r="A65" s="620" t="s">
        <v>14</v>
      </c>
      <c r="B65" s="293" t="s">
        <v>32</v>
      </c>
      <c r="C65" s="616" t="s">
        <v>949</v>
      </c>
      <c r="D65" s="616"/>
      <c r="E65" s="29">
        <v>25.98</v>
      </c>
      <c r="F65" s="293">
        <v>4100</v>
      </c>
      <c r="G65" s="286">
        <f t="shared" si="45"/>
        <v>106518</v>
      </c>
      <c r="H65" s="33">
        <v>2</v>
      </c>
      <c r="I65" s="290">
        <v>17</v>
      </c>
      <c r="J65" s="31">
        <v>2400</v>
      </c>
      <c r="K65" s="12">
        <f t="shared" si="1"/>
        <v>141.1764705882353</v>
      </c>
      <c r="L65" s="290">
        <v>17</v>
      </c>
      <c r="M65" s="13">
        <f t="shared" si="46"/>
        <v>2299.0654205607475</v>
      </c>
      <c r="N65" s="12">
        <f t="shared" si="3"/>
        <v>135.23914238592633</v>
      </c>
      <c r="O65" s="14">
        <f t="shared" si="4"/>
        <v>0</v>
      </c>
      <c r="P65" s="15">
        <f t="shared" si="5"/>
        <v>-5.9373282023089757</v>
      </c>
      <c r="Q65" s="285">
        <f t="shared" si="6"/>
        <v>0.9579439252336448</v>
      </c>
      <c r="R65" s="615"/>
      <c r="S65" s="34">
        <v>0.33680555555555552</v>
      </c>
      <c r="T65" s="34">
        <v>0.41111111111111109</v>
      </c>
      <c r="U65" s="286">
        <f t="shared" si="48"/>
        <v>4.9999999999999822</v>
      </c>
      <c r="V65" s="291">
        <f t="shared" si="47"/>
        <v>107.00000000000001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-100.9345794392525</v>
      </c>
      <c r="AF65" s="285">
        <f t="shared" si="9"/>
        <v>0.9579439252336448</v>
      </c>
      <c r="AG65" s="615"/>
    </row>
    <row r="66" spans="1:33" ht="15.75" customHeight="1">
      <c r="A66" s="620" t="s">
        <v>14</v>
      </c>
      <c r="B66" s="293" t="s">
        <v>32</v>
      </c>
      <c r="C66" s="616" t="s">
        <v>54</v>
      </c>
      <c r="D66" s="616"/>
      <c r="E66" s="29">
        <v>20.21</v>
      </c>
      <c r="F66" s="293">
        <v>2591</v>
      </c>
      <c r="G66" s="286">
        <f t="shared" si="45"/>
        <v>52364.11</v>
      </c>
      <c r="H66" s="33" t="s">
        <v>57</v>
      </c>
      <c r="I66" s="290">
        <v>15</v>
      </c>
      <c r="J66" s="31">
        <v>2400</v>
      </c>
      <c r="K66" s="12">
        <f t="shared" si="1"/>
        <v>160</v>
      </c>
      <c r="L66" s="290">
        <v>15</v>
      </c>
      <c r="M66" s="13">
        <f t="shared" si="46"/>
        <v>2286.1764705882351</v>
      </c>
      <c r="N66" s="12">
        <f t="shared" si="3"/>
        <v>152.41176470588235</v>
      </c>
      <c r="O66" s="14">
        <f t="shared" si="4"/>
        <v>0</v>
      </c>
      <c r="P66" s="15">
        <f t="shared" si="5"/>
        <v>-7.5882352941176521</v>
      </c>
      <c r="Q66" s="285">
        <f t="shared" si="6"/>
        <v>0.95257352941176465</v>
      </c>
      <c r="R66" s="615"/>
      <c r="S66" s="34">
        <v>0.4145833333333333</v>
      </c>
      <c r="T66" s="34">
        <v>0.46180555555555552</v>
      </c>
      <c r="U66" s="286">
        <f t="shared" si="48"/>
        <v>4.9999999999999822</v>
      </c>
      <c r="V66" s="291">
        <f t="shared" si="47"/>
        <v>68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-113.82352941176487</v>
      </c>
      <c r="AF66" s="285">
        <f t="shared" si="9"/>
        <v>0.95257352941176465</v>
      </c>
      <c r="AG66" s="615"/>
    </row>
    <row r="67" spans="1:33" ht="15.75" customHeight="1">
      <c r="A67" s="620" t="s">
        <v>14</v>
      </c>
      <c r="B67" s="293" t="s">
        <v>32</v>
      </c>
      <c r="C67" s="616" t="s">
        <v>55</v>
      </c>
      <c r="D67" s="616"/>
      <c r="E67" s="29">
        <v>22.69</v>
      </c>
      <c r="F67" s="293">
        <v>2774</v>
      </c>
      <c r="G67" s="286">
        <f t="shared" si="45"/>
        <v>62942.060000000005</v>
      </c>
      <c r="H67" s="33" t="s">
        <v>57</v>
      </c>
      <c r="I67" s="290">
        <v>15</v>
      </c>
      <c r="J67" s="31">
        <v>2400</v>
      </c>
      <c r="K67" s="12">
        <f t="shared" si="1"/>
        <v>160</v>
      </c>
      <c r="L67" s="290">
        <v>15</v>
      </c>
      <c r="M67" s="13">
        <f t="shared" si="46"/>
        <v>2311.666666666667</v>
      </c>
      <c r="N67" s="12">
        <f t="shared" si="3"/>
        <v>154.11111111111114</v>
      </c>
      <c r="O67" s="14">
        <f t="shared" si="4"/>
        <v>0</v>
      </c>
      <c r="P67" s="15">
        <f t="shared" si="5"/>
        <v>-5.8888888888888573</v>
      </c>
      <c r="Q67" s="285">
        <f t="shared" si="6"/>
        <v>0.96319444444444469</v>
      </c>
      <c r="R67" s="615"/>
      <c r="S67" s="34">
        <v>0.46736111111111106</v>
      </c>
      <c r="T67" s="34">
        <v>0.51736111111111105</v>
      </c>
      <c r="U67" s="286">
        <f t="shared" si="48"/>
        <v>7.9999999999999716</v>
      </c>
      <c r="V67" s="291">
        <f t="shared" si="47"/>
        <v>71.999999999999986</v>
      </c>
      <c r="W67" s="16">
        <f>T67</f>
        <v>0.51736111111111105</v>
      </c>
      <c r="X67" s="16">
        <f>S68</f>
        <v>0.5576388888888888</v>
      </c>
      <c r="Y67" s="16"/>
      <c r="Z67" s="16"/>
      <c r="AA67" s="617"/>
      <c r="AB67" s="617"/>
      <c r="AC67" s="35"/>
      <c r="AD67" s="18"/>
      <c r="AE67" s="14">
        <f t="shared" si="43"/>
        <v>-88.33333333333303</v>
      </c>
      <c r="AF67" s="285">
        <f t="shared" si="9"/>
        <v>0.96319444444444458</v>
      </c>
      <c r="AG67" s="615"/>
    </row>
    <row r="68" spans="1:33" ht="15.75" customHeight="1">
      <c r="A68" s="620" t="s">
        <v>1281</v>
      </c>
      <c r="B68" s="293" t="s">
        <v>32</v>
      </c>
      <c r="C68" s="616" t="s">
        <v>949</v>
      </c>
      <c r="D68" s="616"/>
      <c r="E68" s="29">
        <v>25.98</v>
      </c>
      <c r="F68" s="293">
        <v>3100</v>
      </c>
      <c r="G68" s="286">
        <f t="shared" si="45"/>
        <v>80538</v>
      </c>
      <c r="H68" s="33" t="s">
        <v>57</v>
      </c>
      <c r="I68" s="290">
        <v>17</v>
      </c>
      <c r="J68" s="31">
        <v>2400</v>
      </c>
      <c r="K68" s="12">
        <f t="shared" si="1"/>
        <v>141.1764705882353</v>
      </c>
      <c r="L68" s="290">
        <v>17</v>
      </c>
      <c r="M68" s="13">
        <f t="shared" si="46"/>
        <v>2296.2962962962956</v>
      </c>
      <c r="N68" s="12">
        <f t="shared" si="3"/>
        <v>135.07625272331151</v>
      </c>
      <c r="O68" s="14">
        <f t="shared" si="4"/>
        <v>0</v>
      </c>
      <c r="P68" s="15">
        <f t="shared" si="5"/>
        <v>-6.1002178649237919</v>
      </c>
      <c r="Q68" s="285">
        <f t="shared" si="6"/>
        <v>0.95679012345678982</v>
      </c>
      <c r="R68" s="615"/>
      <c r="S68" s="34">
        <v>0.5576388888888888</v>
      </c>
      <c r="T68" s="34">
        <v>0.61388888888888882</v>
      </c>
      <c r="U68" s="286">
        <f t="shared" si="48"/>
        <v>57.999999999999957</v>
      </c>
      <c r="V68" s="291">
        <f t="shared" si="47"/>
        <v>81.000000000000028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-103.70370370370438</v>
      </c>
      <c r="AF68" s="285">
        <f t="shared" si="9"/>
        <v>0.95679012345678982</v>
      </c>
      <c r="AG68" s="615"/>
    </row>
    <row r="69" spans="1:33" ht="16.5" customHeight="1">
      <c r="A69" s="621" t="s">
        <v>14</v>
      </c>
      <c r="B69" s="29" t="s">
        <v>6</v>
      </c>
      <c r="C69" s="612"/>
      <c r="D69" s="613"/>
      <c r="E69" s="287"/>
      <c r="F69" s="30"/>
      <c r="G69" s="12"/>
      <c r="H69" s="293"/>
      <c r="I69" s="23">
        <v>15.833333333333334</v>
      </c>
      <c r="J69" s="31">
        <v>2400</v>
      </c>
      <c r="K69" s="12">
        <f t="shared" ref="K69" si="49">J69/I69</f>
        <v>151.57894736842104</v>
      </c>
      <c r="L69" s="23">
        <v>15.833333333333334</v>
      </c>
      <c r="M69" s="13">
        <f>AVERAGE(M63:M68)</f>
        <v>2294.4043346596832</v>
      </c>
      <c r="N69" s="12">
        <f t="shared" ref="N69" si="50">M69/L69</f>
        <v>144.90974745219052</v>
      </c>
      <c r="O69" s="14">
        <f t="shared" ref="O69" si="51">L69-I69</f>
        <v>0</v>
      </c>
      <c r="P69" s="15">
        <f t="shared" ref="P69" si="52">N69-K69</f>
        <v>-6.6691999162305251</v>
      </c>
      <c r="Q69" s="285">
        <f t="shared" ref="Q69" si="53">N69/K69</f>
        <v>0.9560018061082014</v>
      </c>
      <c r="R69" s="615"/>
      <c r="S69" s="34"/>
      <c r="T69" s="34"/>
      <c r="U69" s="12"/>
      <c r="V69" s="291"/>
      <c r="W69" s="12"/>
      <c r="X69" s="12"/>
      <c r="Y69" s="24">
        <f>SUM(Y63:Y68)</f>
        <v>0</v>
      </c>
      <c r="Z69" s="24">
        <f>SUM(Z63:Z68)</f>
        <v>0</v>
      </c>
      <c r="AA69" s="614"/>
      <c r="AB69" s="614"/>
      <c r="AC69" s="24">
        <v>6</v>
      </c>
      <c r="AD69" s="24">
        <f>SUM(AD63:AD68)</f>
        <v>0</v>
      </c>
      <c r="AE69" s="14">
        <f t="shared" si="43"/>
        <v>-105.59566534031683</v>
      </c>
      <c r="AF69" s="285">
        <f t="shared" ref="AF69" si="54">M69/J69</f>
        <v>0.95600180610820129</v>
      </c>
      <c r="AG69" s="615"/>
    </row>
    <row r="70" spans="1:33">
      <c r="D70" s="25"/>
      <c r="E70" s="25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9:A35"/>
    <mergeCell ref="C29:D29"/>
    <mergeCell ref="R29:R35"/>
    <mergeCell ref="AA29:AB29"/>
    <mergeCell ref="AA34:AB34"/>
    <mergeCell ref="C35:D35"/>
    <mergeCell ref="AA35:AB35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AA46:AB46"/>
    <mergeCell ref="C47:D47"/>
    <mergeCell ref="AA47:AB47"/>
    <mergeCell ref="A43:A47"/>
    <mergeCell ref="C43:D43"/>
    <mergeCell ref="R43:R47"/>
    <mergeCell ref="AA43:AB43"/>
    <mergeCell ref="C56:D56"/>
    <mergeCell ref="AA56:AB56"/>
    <mergeCell ref="AA48:AB48"/>
    <mergeCell ref="AA54:AB54"/>
    <mergeCell ref="C55:D55"/>
    <mergeCell ref="AA55:AB55"/>
    <mergeCell ref="AG43:AG47"/>
    <mergeCell ref="C44:D44"/>
    <mergeCell ref="AA44:AB44"/>
    <mergeCell ref="C45:D45"/>
    <mergeCell ref="AA45:AB45"/>
    <mergeCell ref="C46:D46"/>
    <mergeCell ref="A57:A62"/>
    <mergeCell ref="C57:D57"/>
    <mergeCell ref="R57:R62"/>
    <mergeCell ref="AA57:AB57"/>
    <mergeCell ref="AA62:AB62"/>
    <mergeCell ref="AG48:AG56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48:A56"/>
    <mergeCell ref="C48:D48"/>
    <mergeCell ref="R48:R56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63:A69"/>
    <mergeCell ref="C63:D63"/>
    <mergeCell ref="R63:R69"/>
    <mergeCell ref="AA63:AB63"/>
    <mergeCell ref="AG63:AG69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A69:AB69"/>
  </mergeCells>
  <phoneticPr fontId="3" type="noConversion"/>
  <conditionalFormatting sqref="O56:O57 O60:O69 O5:O9 O13:O15 O21:O53">
    <cfRule type="cellIs" dxfId="881" priority="51" operator="greaterThan">
      <formula>0</formula>
    </cfRule>
  </conditionalFormatting>
  <conditionalFormatting sqref="P5:P7 P60:P61 AE60:AE61 P63:P68 P29:P34 P57 P9 P22:P27 P48:P53 P13:P15 P36:P46 AE5:AE57 AE63:AE69">
    <cfRule type="cellIs" dxfId="880" priority="55" operator="lessThan">
      <formula>0</formula>
    </cfRule>
  </conditionalFormatting>
  <conditionalFormatting sqref="AF60:AF61 Q56:Q57 Q60:Q69 Q5:Q9 Q13:Q15 Q21:Q53 AF5:AF57 AF63:AF69">
    <cfRule type="cellIs" dxfId="879" priority="52" operator="greaterThan">
      <formula>1</formula>
    </cfRule>
    <cfRule type="cellIs" dxfId="878" priority="53" operator="lessThan">
      <formula>0.8</formula>
    </cfRule>
  </conditionalFormatting>
  <conditionalFormatting sqref="AG14:AG15 R14:R15 AG60 AG56:AG57 R56:R57 R60:R69 AG5:AG9 R5:R9 AG21:AG53 R21:R53">
    <cfRule type="cellIs" dxfId="877" priority="57" operator="lessThan">
      <formula>0.8</formula>
    </cfRule>
  </conditionalFormatting>
  <conditionalFormatting sqref="AG43">
    <cfRule type="cellIs" dxfId="876" priority="59" operator="lessThan">
      <formula>0.8</formula>
    </cfRule>
  </conditionalFormatting>
  <conditionalFormatting sqref="AG22:AG27">
    <cfRule type="cellIs" dxfId="875" priority="56" operator="lessThan">
      <formula>0.8</formula>
    </cfRule>
  </conditionalFormatting>
  <conditionalFormatting sqref="AG29">
    <cfRule type="cellIs" dxfId="874" priority="58" operator="lessThan">
      <formula>0.8</formula>
    </cfRule>
  </conditionalFormatting>
  <conditionalFormatting sqref="AG36:AG41">
    <cfRule type="cellIs" dxfId="873" priority="54" operator="lessThan">
      <formula>0.8</formula>
    </cfRule>
  </conditionalFormatting>
  <conditionalFormatting sqref="AE62">
    <cfRule type="cellIs" dxfId="872" priority="50" operator="lessThan">
      <formula>0</formula>
    </cfRule>
  </conditionalFormatting>
  <conditionalFormatting sqref="AF62">
    <cfRule type="cellIs" dxfId="871" priority="48" operator="greaterThan">
      <formula>1</formula>
    </cfRule>
    <cfRule type="cellIs" dxfId="870" priority="49" operator="lessThan">
      <formula>0.8</formula>
    </cfRule>
  </conditionalFormatting>
  <conditionalFormatting sqref="O16:O17">
    <cfRule type="cellIs" dxfId="869" priority="43" operator="greaterThan">
      <formula>0</formula>
    </cfRule>
  </conditionalFormatting>
  <conditionalFormatting sqref="P16:P17">
    <cfRule type="cellIs" dxfId="868" priority="46" operator="lessThan">
      <formula>0</formula>
    </cfRule>
  </conditionalFormatting>
  <conditionalFormatting sqref="Q16:Q17">
    <cfRule type="cellIs" dxfId="867" priority="44" operator="greaterThan">
      <formula>1</formula>
    </cfRule>
    <cfRule type="cellIs" dxfId="866" priority="45" operator="lessThan">
      <formula>0.8</formula>
    </cfRule>
  </conditionalFormatting>
  <conditionalFormatting sqref="R16:R17 AG16:AG17">
    <cfRule type="cellIs" dxfId="865" priority="47" operator="lessThan">
      <formula>0.8</formula>
    </cfRule>
  </conditionalFormatting>
  <conditionalFormatting sqref="O10:O12">
    <cfRule type="cellIs" dxfId="864" priority="39" operator="greaterThan">
      <formula>0</formula>
    </cfRule>
  </conditionalFormatting>
  <conditionalFormatting sqref="P10:P12">
    <cfRule type="cellIs" dxfId="863" priority="42" operator="lessThan">
      <formula>0</formula>
    </cfRule>
  </conditionalFormatting>
  <conditionalFormatting sqref="Q10:Q12">
    <cfRule type="cellIs" dxfId="862" priority="40" operator="greaterThan">
      <formula>1</formula>
    </cfRule>
    <cfRule type="cellIs" dxfId="861" priority="41" operator="lessThan">
      <formula>0.8</formula>
    </cfRule>
  </conditionalFormatting>
  <conditionalFormatting sqref="O54">
    <cfRule type="cellIs" dxfId="860" priority="34" operator="greaterThan">
      <formula>0</formula>
    </cfRule>
  </conditionalFormatting>
  <conditionalFormatting sqref="P54">
    <cfRule type="cellIs" dxfId="859" priority="37" operator="lessThan">
      <formula>0</formula>
    </cfRule>
  </conditionalFormatting>
  <conditionalFormatting sqref="Q54">
    <cfRule type="cellIs" dxfId="858" priority="35" operator="greaterThan">
      <formula>1</formula>
    </cfRule>
    <cfRule type="cellIs" dxfId="857" priority="36" operator="lessThan">
      <formula>0.8</formula>
    </cfRule>
  </conditionalFormatting>
  <conditionalFormatting sqref="R54 AG54">
    <cfRule type="cellIs" dxfId="856" priority="38" operator="lessThan">
      <formula>0.8</formula>
    </cfRule>
  </conditionalFormatting>
  <conditionalFormatting sqref="O59">
    <cfRule type="cellIs" dxfId="855" priority="29" operator="greaterThan">
      <formula>0</formula>
    </cfRule>
  </conditionalFormatting>
  <conditionalFormatting sqref="P59 AE59">
    <cfRule type="cellIs" dxfId="854" priority="32" operator="lessThan">
      <formula>0</formula>
    </cfRule>
  </conditionalFormatting>
  <conditionalFormatting sqref="Q59 AF59">
    <cfRule type="cellIs" dxfId="853" priority="30" operator="greaterThan">
      <formula>1</formula>
    </cfRule>
    <cfRule type="cellIs" dxfId="852" priority="31" operator="lessThan">
      <formula>0.8</formula>
    </cfRule>
  </conditionalFormatting>
  <conditionalFormatting sqref="R59 AG59">
    <cfRule type="cellIs" dxfId="851" priority="33" operator="lessThan">
      <formula>0.8</formula>
    </cfRule>
  </conditionalFormatting>
  <conditionalFormatting sqref="O18:O19">
    <cfRule type="cellIs" dxfId="850" priority="24" operator="greaterThan">
      <formula>0</formula>
    </cfRule>
  </conditionalFormatting>
  <conditionalFormatting sqref="P18:P19">
    <cfRule type="cellIs" dxfId="849" priority="27" operator="lessThan">
      <formula>0</formula>
    </cfRule>
  </conditionalFormatting>
  <conditionalFormatting sqref="Q18:Q19">
    <cfRule type="cellIs" dxfId="848" priority="25" operator="greaterThan">
      <formula>1</formula>
    </cfRule>
    <cfRule type="cellIs" dxfId="847" priority="26" operator="lessThan">
      <formula>0.8</formula>
    </cfRule>
  </conditionalFormatting>
  <conditionalFormatting sqref="R18:R19 AG18:AG19">
    <cfRule type="cellIs" dxfId="846" priority="28" operator="lessThan">
      <formula>0.8</formula>
    </cfRule>
  </conditionalFormatting>
  <conditionalFormatting sqref="O55">
    <cfRule type="cellIs" dxfId="845" priority="19" operator="greaterThan">
      <formula>0</formula>
    </cfRule>
  </conditionalFormatting>
  <conditionalFormatting sqref="P55">
    <cfRule type="cellIs" dxfId="844" priority="22" operator="lessThan">
      <formula>0</formula>
    </cfRule>
  </conditionalFormatting>
  <conditionalFormatting sqref="Q55">
    <cfRule type="cellIs" dxfId="843" priority="20" operator="greaterThan">
      <formula>1</formula>
    </cfRule>
    <cfRule type="cellIs" dxfId="842" priority="21" operator="lessThan">
      <formula>0.8</formula>
    </cfRule>
  </conditionalFormatting>
  <conditionalFormatting sqref="AG55 R55">
    <cfRule type="cellIs" dxfId="841" priority="23" operator="lessThan">
      <formula>0.8</formula>
    </cfRule>
  </conditionalFormatting>
  <conditionalFormatting sqref="O58">
    <cfRule type="cellIs" dxfId="840" priority="14" operator="greaterThan">
      <formula>0</formula>
    </cfRule>
  </conditionalFormatting>
  <conditionalFormatting sqref="P58 AE58">
    <cfRule type="cellIs" dxfId="839" priority="17" operator="lessThan">
      <formula>0</formula>
    </cfRule>
  </conditionalFormatting>
  <conditionalFormatting sqref="Q58 AF58">
    <cfRule type="cellIs" dxfId="838" priority="15" operator="greaterThan">
      <formula>1</formula>
    </cfRule>
    <cfRule type="cellIs" dxfId="837" priority="16" operator="lessThan">
      <formula>0.8</formula>
    </cfRule>
  </conditionalFormatting>
  <conditionalFormatting sqref="R58 AG58">
    <cfRule type="cellIs" dxfId="836" priority="18" operator="lessThan">
      <formula>0.8</formula>
    </cfRule>
  </conditionalFormatting>
  <conditionalFormatting sqref="O20">
    <cfRule type="cellIs" dxfId="835" priority="9" operator="greaterThan">
      <formula>0</formula>
    </cfRule>
  </conditionalFormatting>
  <conditionalFormatting sqref="P20">
    <cfRule type="cellIs" dxfId="834" priority="12" operator="lessThan">
      <formula>0</formula>
    </cfRule>
  </conditionalFormatting>
  <conditionalFormatting sqref="Q20">
    <cfRule type="cellIs" dxfId="833" priority="10" operator="greaterThan">
      <formula>1</formula>
    </cfRule>
    <cfRule type="cellIs" dxfId="832" priority="11" operator="lessThan">
      <formula>0.8</formula>
    </cfRule>
  </conditionalFormatting>
  <conditionalFormatting sqref="AG20 R20">
    <cfRule type="cellIs" dxfId="831" priority="13" operator="lessThan">
      <formula>0.8</formula>
    </cfRule>
  </conditionalFormatting>
  <conditionalFormatting sqref="P8">
    <cfRule type="cellIs" dxfId="830" priority="8" operator="lessThan">
      <formula>0</formula>
    </cfRule>
  </conditionalFormatting>
  <conditionalFormatting sqref="P21">
    <cfRule type="cellIs" dxfId="829" priority="7" operator="lessThan">
      <formula>0</formula>
    </cfRule>
  </conditionalFormatting>
  <conditionalFormatting sqref="P28">
    <cfRule type="cellIs" dxfId="828" priority="6" operator="lessThan">
      <formula>0</formula>
    </cfRule>
  </conditionalFormatting>
  <conditionalFormatting sqref="P35">
    <cfRule type="cellIs" dxfId="827" priority="5" operator="lessThan">
      <formula>0</formula>
    </cfRule>
  </conditionalFormatting>
  <conditionalFormatting sqref="P47">
    <cfRule type="cellIs" dxfId="826" priority="4" operator="lessThan">
      <formula>0</formula>
    </cfRule>
  </conditionalFormatting>
  <conditionalFormatting sqref="P56">
    <cfRule type="cellIs" dxfId="825" priority="3" operator="lessThan">
      <formula>0</formula>
    </cfRule>
  </conditionalFormatting>
  <conditionalFormatting sqref="P62">
    <cfRule type="cellIs" dxfId="824" priority="2" operator="lessThan">
      <formula>0</formula>
    </cfRule>
  </conditionalFormatting>
  <conditionalFormatting sqref="P69">
    <cfRule type="cellIs" dxfId="823" priority="1" operator="lessThan">
      <formula>0</formula>
    </cfRule>
  </conditionalFormatting>
  <dataValidations count="1">
    <dataValidation type="list" allowBlank="1" showInputMessage="1" showErrorMessage="1" sqref="AB8 AA5:AB7 AB61 AB10:AB57 AA8:AA61 AA62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660</v>
      </c>
      <c r="C3" s="601" t="str">
        <f>TEXT('0612 4度C'!A2,"yyyy.mm.ddaaaa")</f>
        <v>2026.06.12星期五</v>
      </c>
      <c r="D3" s="602"/>
      <c r="E3" s="39" t="s">
        <v>661</v>
      </c>
      <c r="F3" s="603">
        <f>'0612 4度C'!D1</f>
        <v>152120</v>
      </c>
      <c r="G3" s="604"/>
      <c r="H3" s="39" t="s">
        <v>91</v>
      </c>
      <c r="I3" s="605">
        <f>'0612 4度C'!F1</f>
        <v>5306675.6399999997</v>
      </c>
      <c r="J3" s="606"/>
      <c r="K3" s="40"/>
      <c r="L3" s="41"/>
      <c r="M3" s="42"/>
      <c r="N3" s="42"/>
    </row>
    <row r="4" spans="2:17" ht="28.5" customHeight="1">
      <c r="B4" s="607" t="s">
        <v>92</v>
      </c>
      <c r="C4" s="593" t="s">
        <v>664</v>
      </c>
      <c r="D4" s="594"/>
      <c r="E4" s="610" t="s">
        <v>1164</v>
      </c>
      <c r="F4" s="611"/>
      <c r="G4" s="610" t="s">
        <v>95</v>
      </c>
      <c r="H4" s="611"/>
      <c r="I4" s="610" t="s">
        <v>1165</v>
      </c>
      <c r="J4" s="611"/>
      <c r="K4" s="591" t="s">
        <v>97</v>
      </c>
      <c r="L4" s="592"/>
      <c r="M4" s="592" t="s">
        <v>74</v>
      </c>
      <c r="N4" s="592"/>
    </row>
    <row r="5" spans="2:17" ht="28.5" customHeight="1">
      <c r="B5" s="608"/>
      <c r="C5" s="593" t="s">
        <v>670</v>
      </c>
      <c r="D5" s="594"/>
      <c r="E5" s="593" t="s">
        <v>196</v>
      </c>
      <c r="F5" s="594"/>
      <c r="G5" s="595" t="s">
        <v>100</v>
      </c>
      <c r="H5" s="596"/>
      <c r="I5" s="597" t="s">
        <v>101</v>
      </c>
      <c r="J5" s="598"/>
      <c r="K5" s="43" t="s">
        <v>199</v>
      </c>
      <c r="L5" s="44" t="s">
        <v>78</v>
      </c>
      <c r="M5" s="43" t="s">
        <v>199</v>
      </c>
      <c r="N5" s="44" t="s">
        <v>1166</v>
      </c>
    </row>
    <row r="6" spans="2:17" ht="28.5" customHeight="1">
      <c r="B6" s="608"/>
      <c r="C6" s="593" t="s">
        <v>58</v>
      </c>
      <c r="D6" s="594"/>
      <c r="E6" s="585">
        <f>AVERAGE(D13:M13)</f>
        <v>154.13892822390847</v>
      </c>
      <c r="F6" s="586">
        <f>AVERAGE(D31:O31,D13:J13)</f>
        <v>159.60557341468143</v>
      </c>
      <c r="G6" s="587">
        <f>AVERAGE(D13:J13)</f>
        <v>159.60557341468143</v>
      </c>
      <c r="H6" s="588"/>
      <c r="I6" s="587">
        <f>AVERAGE(K13:M13)</f>
        <v>141.38342277877163</v>
      </c>
      <c r="J6" s="588"/>
      <c r="K6" s="589">
        <f>'0612 4度C'!Y2</f>
        <v>0</v>
      </c>
      <c r="L6" s="574">
        <f>'0612 4度C'!Z2</f>
        <v>0</v>
      </c>
      <c r="M6" s="590">
        <f>'0612 4度C'!AC2</f>
        <v>53</v>
      </c>
      <c r="N6" s="574">
        <f>'0612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147.86448584403692</v>
      </c>
      <c r="F7" s="578">
        <f>AVERAGE(D32:O32,D14:J14)</f>
        <v>153.29313242446617</v>
      </c>
      <c r="G7" s="579">
        <f>AVERAGE(D14:J14)</f>
        <v>153.29313242446617</v>
      </c>
      <c r="H7" s="580"/>
      <c r="I7" s="579">
        <f>AVERAGE(K14:M14)</f>
        <v>135.19764382303538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0.95802743292396264</v>
      </c>
      <c r="F8" s="582">
        <f>AVERAGE(D15:J15,D33:O33)</f>
        <v>0.95882970032931092</v>
      </c>
      <c r="G8" s="583">
        <f>AVERAGE(D15:J15)</f>
        <v>0.95882970032931092</v>
      </c>
      <c r="H8" s="584"/>
      <c r="I8" s="583">
        <f>AVERAGE(K15:M15)</f>
        <v>0.95615547564481673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104</v>
      </c>
      <c r="N9" s="42"/>
      <c r="O9" s="42"/>
      <c r="P9" s="42"/>
      <c r="Q9" s="42"/>
    </row>
    <row r="10" spans="2:17" ht="30" customHeight="1">
      <c r="B10" s="557" t="s">
        <v>105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757</v>
      </c>
      <c r="L10" s="563"/>
      <c r="M10" s="564"/>
      <c r="P10" s="48"/>
      <c r="Q10" s="48"/>
    </row>
    <row r="11" spans="2:17" ht="17.25" customHeight="1">
      <c r="B11" s="565" t="s">
        <v>108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109</v>
      </c>
      <c r="C13" s="55" t="s">
        <v>1167</v>
      </c>
      <c r="D13" s="56">
        <f>SUMIFS('0612 4度C'!$K:$K,'0612 4度C'!$A:$A,"新豐6線",'0612 4度C'!$B:$B,"平均")</f>
        <v>130.43478260869566</v>
      </c>
      <c r="E13" s="57">
        <f>SUMIFS('0612 4度C'!$K:$K,'0612 4度C'!$A:$A,"新豐2線",'0612 4度C'!$B:$B,"平均")</f>
        <v>86.956521739130437</v>
      </c>
      <c r="F13" s="58">
        <f>SUMIFS('0612 4度C'!$K:$K,'0612 4度C'!$A:$A,"新豐5線",'0612 4度C'!$B:$B,"平均")</f>
        <v>87.786259541984734</v>
      </c>
      <c r="G13" s="58">
        <f>SUMIFS('0612 4度C'!$K:$K,'0612 4度C'!$A:$A,"新豐7線",'0612 4度C'!$B:$B,"平均")</f>
        <v>128.57142857142858</v>
      </c>
      <c r="H13" s="58">
        <f>SUMIFS('0612 4度C'!$K:$K,'0612 4度C'!$A:$A,"新豐3線",'0612 4度C'!$B:$B,"平均")</f>
        <v>255.81395348837211</v>
      </c>
      <c r="I13" s="58">
        <f>SUMIFS('0612 4度C'!$K:$K,'0612 4度C'!$A:$A,"新豐1線",'0612 4度C'!$B:$B,"平均")</f>
        <v>108.52713178294574</v>
      </c>
      <c r="J13" s="59">
        <f>SUMIFS('0612 4度C'!$K:$K,'0612 4度C'!$A:$A,"新豐10線",'0612 4度C'!$B:$B,"平均")</f>
        <v>319.14893617021278</v>
      </c>
      <c r="K13" s="60">
        <f>SUMIFS('0612 4度C'!$K:$K,'0612 4度C'!$A:$A,"新豐8線",'0612 4度C'!$B:$B,"平均")</f>
        <v>139.53488372093022</v>
      </c>
      <c r="L13" s="61">
        <f>SUMIFS('0612 4度C'!$K:$K,'0612 4度C'!$A:$A,"新豐9線",'0612 4度C'!$B:$B,"平均")</f>
        <v>130.76923076923077</v>
      </c>
      <c r="M13" s="59">
        <f>SUMIFS('0612 4度C'!$K:$K,'0612 4度C'!$A:$A,"新豐4線",'0612 4度C'!$B:$B,"平均")</f>
        <v>153.84615384615384</v>
      </c>
    </row>
    <row r="14" spans="2:17" ht="39.6" customHeight="1">
      <c r="B14" s="570"/>
      <c r="C14" s="62" t="s">
        <v>111</v>
      </c>
      <c r="D14" s="63">
        <f>SUMIFS('0612 4度C'!$N:$N,'0612 4度C'!$A:$A,"新豐6線",'0612 4度C'!$B:$B,"平均")</f>
        <v>124.92855573123508</v>
      </c>
      <c r="E14" s="64">
        <f>SUMIFS('0612 4度C'!$N:$N,'0612 4度C'!$A:$A,"新豐2線",'0612 4度C'!$B:$B,"平均")</f>
        <v>83.071330086667842</v>
      </c>
      <c r="F14" s="64">
        <f>SUMIFS('0612 4度C'!$N:$N,'0612 4度C'!$A:$A,"新豐5線",'0612 4度C'!$B:$B,"平均")</f>
        <v>84.179861728748989</v>
      </c>
      <c r="G14" s="64">
        <f>SUMIFS('0612 4度C'!$N:$N,'0612 4度C'!$A:$A,"新豐7線",'0612 4度C'!$B:$B,"平均")</f>
        <v>123.18862160950826</v>
      </c>
      <c r="H14" s="64">
        <f>SUMIFS('0612 4度C'!$N:$N,'0612 4度C'!$A:$A,"新豐3線",'0612 4度C'!$B:$B,"平均")</f>
        <v>245.76834603281338</v>
      </c>
      <c r="I14" s="64">
        <f>SUMIFS('0612 4度C'!$N:$N,'0612 4度C'!$A:$A,"新豐1線",'0612 4度C'!$B:$B,"平均")</f>
        <v>103.64353370039494</v>
      </c>
      <c r="J14" s="65">
        <f>SUMIFS('0612 4度C'!$N:$N,'0612 4度C'!$A:$A,"新豐10線",'0612 4度C'!$B:$B,"平均")</f>
        <v>308.27167808189466</v>
      </c>
      <c r="K14" s="66">
        <f>SUMIFS('0612 4度C'!$N:$N,'0612 4度C'!$A:$A,"新豐8線",'0612 4度C'!$B:$B,"平均")</f>
        <v>133.45053976745379</v>
      </c>
      <c r="L14" s="67">
        <f>SUMIFS('0612 4度C'!$N:$N,'0612 4度C'!$A:$A,"新豐9線",'0612 4度C'!$B:$B,"平均")</f>
        <v>124.79337845392914</v>
      </c>
      <c r="M14" s="65">
        <f>SUMIFS('0612 4度C'!$N:$N,'0612 4度C'!$A:$A,"新豐4線",'0612 4度C'!$B:$B,"平均")</f>
        <v>147.34901324772315</v>
      </c>
    </row>
    <row r="15" spans="2:17" ht="40.15" customHeight="1">
      <c r="B15" s="571"/>
      <c r="C15" s="68" t="s">
        <v>877</v>
      </c>
      <c r="D15" s="69">
        <f t="shared" ref="D15:M15" si="0">D14/D13</f>
        <v>0.95778559393946894</v>
      </c>
      <c r="E15" s="70">
        <f t="shared" si="0"/>
        <v>0.95532029599668011</v>
      </c>
      <c r="F15" s="70">
        <f t="shared" si="0"/>
        <v>0.95891842491009716</v>
      </c>
      <c r="G15" s="70">
        <f t="shared" si="0"/>
        <v>0.95813372362950855</v>
      </c>
      <c r="H15" s="70">
        <f t="shared" si="0"/>
        <v>0.96073080721917958</v>
      </c>
      <c r="I15" s="70">
        <f t="shared" si="0"/>
        <v>0.955001131953639</v>
      </c>
      <c r="J15" s="71">
        <f t="shared" si="0"/>
        <v>0.9659179246566032</v>
      </c>
      <c r="K15" s="69">
        <f t="shared" si="0"/>
        <v>0.95639553500008556</v>
      </c>
      <c r="L15" s="70">
        <f t="shared" si="0"/>
        <v>0.95430230582416398</v>
      </c>
      <c r="M15" s="71">
        <f t="shared" si="0"/>
        <v>0.95776858611020055</v>
      </c>
    </row>
    <row r="16" spans="2:17" ht="17.25" customHeight="1">
      <c r="B16" s="572" t="s">
        <v>208</v>
      </c>
      <c r="C16" s="72" t="s">
        <v>114</v>
      </c>
      <c r="D16" s="73">
        <f>VLOOKUP("新豐6線",'0612 4度C'!$A:$T,19,0)</f>
        <v>0.70833333333333337</v>
      </c>
      <c r="E16" s="74">
        <f>VLOOKUP("新豐2線",'0612 4度C'!$A:$T,19,0)</f>
        <v>8.3333333333333329E-2</v>
      </c>
      <c r="F16" s="74">
        <f>VLOOKUP("新豐5線",'0612 4度C'!$A:$T,19,0)</f>
        <v>8.3333333333333329E-2</v>
      </c>
      <c r="G16" s="74">
        <f>VLOOKUP("新豐7線",'0612 4度C'!$A:$T,19,0)</f>
        <v>0.20833333333333334</v>
      </c>
      <c r="H16" s="74">
        <f>VLOOKUP("新豐3線",'0612 4度C'!$A:$T,19,0)</f>
        <v>8.3333333333333329E-2</v>
      </c>
      <c r="I16" s="74">
        <f>VLOOKUP("新豐1線",'0612 4度C'!$A:$T,19,0)</f>
        <v>0.16666666666666666</v>
      </c>
      <c r="J16" s="75">
        <f>VLOOKUP("新豐10線",'0612 4度C'!$A:$T,19,0)</f>
        <v>0.20833333333333334</v>
      </c>
      <c r="K16" s="76">
        <f>VLOOKUP("新豐8線",'0612 4度C'!$A:$T,19,0)</f>
        <v>8.3333333333333329E-2</v>
      </c>
      <c r="L16" s="77">
        <f>VLOOKUP("新豐9線",'0612 4度C'!$A:$T,19,0)</f>
        <v>8.3333333333333329E-2</v>
      </c>
      <c r="M16" s="78">
        <f>VLOOKUP("新豐4線",'0612 4度C'!$A:$T,19,0)</f>
        <v>8.3333333333333329E-2</v>
      </c>
    </row>
    <row r="17" spans="2:13" ht="17.25" customHeight="1">
      <c r="B17" s="573"/>
      <c r="C17" s="72" t="s">
        <v>684</v>
      </c>
      <c r="D17" s="76">
        <f>LOOKUP(2,1/(('0612 4度C'!$A:$A="新豐6線")*('0612 4度C'!$T:$T&lt;&gt;"")),'0612 4度C'!$T:$T)</f>
        <v>0.83333333333333326</v>
      </c>
      <c r="E17" s="74">
        <f>LOOKUP(2,1/(('0612 4度C'!$A:$A="新豐2線")*('0612 4度C'!$T:$T&lt;&gt;"")),'0612 4度C'!$T:$T)</f>
        <v>0.58194444444444438</v>
      </c>
      <c r="F17" s="74">
        <f>LOOKUP(2,1/(('0612 4度C'!$A:$A="新豐5線")*('0612 4度C'!$T:$T&lt;&gt;"")),'0612 4度C'!$T:$T)</f>
        <v>0.8</v>
      </c>
      <c r="G17" s="74">
        <f>LOOKUP(2,1/(('0612 4度C'!$A:$A="新豐7線")*('0612 4度C'!$T:$T&lt;&gt;"")),'0612 4度C'!$T:$T)</f>
        <v>0.84722222222222221</v>
      </c>
      <c r="H17" s="74">
        <f>LOOKUP(2,1/(('0612 4度C'!$A:$A="新豐3線")*('0612 4度C'!$T:$T&lt;&gt;"")),'0612 4度C'!$T:$T)</f>
        <v>0.32291666666666663</v>
      </c>
      <c r="I17" s="74">
        <f>LOOKUP(2,1/(('0612 4度C'!$A:$A="新豐1線")*('0612 4度C'!$T:$T&lt;&gt;"")),'0612 4度C'!$T:$T)</f>
        <v>0.79305555555555562</v>
      </c>
      <c r="J17" s="75">
        <f>LOOKUP(2,1/(('0612 4度C'!$A:$A="新豐10線")*('0612 4度C'!$T:$T&lt;&gt;"")),'0612 4度C'!$T:$T)</f>
        <v>0.36111111111111105</v>
      </c>
      <c r="K17" s="73">
        <f>LOOKUP(2,1/(('0612 4度C'!$A:$A="新豐8線")*('0612 4度C'!$T:$T&lt;&gt;"")),'0612 4度C'!$T:$T)</f>
        <v>0.53402777777777777</v>
      </c>
      <c r="L17" s="74">
        <f>LOOKUP(2,1/(('0612 4度C'!$A:$A="新豐9線")*('0612 4度C'!$T:$T&lt;&gt;"")),'0612 4度C'!$T:$T)</f>
        <v>0.58263888888888882</v>
      </c>
      <c r="M17" s="75">
        <f>LOOKUP(2,1/(('0612 4度C'!$A:$A="新豐4線")*('0612 4度C'!$T:$T&lt;&gt;"")),'0612 4度C'!$T:$T)</f>
        <v>0.52430555555555558</v>
      </c>
    </row>
    <row r="18" spans="2:13" ht="17.25" customHeight="1">
      <c r="B18" s="551" t="s">
        <v>116</v>
      </c>
      <c r="C18" s="79" t="s">
        <v>1168</v>
      </c>
      <c r="D18" s="80">
        <f>SUMIFS('0612 4度C'!$Y:$Y,'0612 4度C'!$A:$A,"新豐6線",'0612 4度C'!$B:$B,"平均")</f>
        <v>0</v>
      </c>
      <c r="E18" s="81">
        <f>SUMIFS('0612 4度C'!$Y:$Y,'0612 4度C'!$A:$A,"新豐2線",'0612 4度C'!$B:$B,"平均")</f>
        <v>0</v>
      </c>
      <c r="F18" s="81">
        <f>SUMIFS('0612 4度C'!$Y:$Y,'0612 4度C'!$A:$A,"新豐5線",'0612 4度C'!$B:$B,"平均")</f>
        <v>0</v>
      </c>
      <c r="G18" s="81">
        <f>SUMIFS('0612 4度C'!$Y:$Y,'0612 4度C'!$A:$A,"新豐7線",'0612 4度C'!$B:$B,"平均")</f>
        <v>0</v>
      </c>
      <c r="H18" s="81">
        <f>SUMIFS('0612 4度C'!$Y:$Y,'0612 4度C'!$A:$A,"新豐3線",'0612 4度C'!$B:$B,"平均")</f>
        <v>0</v>
      </c>
      <c r="I18" s="81">
        <f>SUMIFS('0612 4度C'!$Y:$Y,'0612 4度C'!$A:$A,"新豐1線",'0612 4度C'!$B:$B,"平均")</f>
        <v>0</v>
      </c>
      <c r="J18" s="82">
        <f>SUMIFS('0612 4度C'!$Y:$Y,'0612 4度C'!$A:$A,"新豐10線",'0612 4度C'!$B:$B,"平均")</f>
        <v>0</v>
      </c>
      <c r="K18" s="83">
        <f>SUMIFS('0612 4度C'!$Y:$Y,'0612 4度C'!$A:$A,"新豐8線",'0612 4度C'!$B:$B,"平均")</f>
        <v>0</v>
      </c>
      <c r="L18" s="81">
        <f>SUMIFS('0612 4度C'!$Y:$Y,'0612 4度C'!$A:$A,"新豐9線",'0612 4度C'!$B:$B,"平均")</f>
        <v>0</v>
      </c>
      <c r="M18" s="82">
        <f>SUMIFS('0612 4度C'!$Y:$Y,'0612 4度C'!$A:$A,"新豐4線",'0612 4度C'!$B:$B,"平均")</f>
        <v>0</v>
      </c>
    </row>
    <row r="19" spans="2:13" ht="17.25" customHeight="1">
      <c r="B19" s="552"/>
      <c r="C19" s="79" t="s">
        <v>118</v>
      </c>
      <c r="D19" s="80">
        <f>SUMIFS('0612 4度C'!$Z:$Z,'0612 4度C'!$A:$A,"新豐6線",'0612 4度C'!$B:$B,"平均")</f>
        <v>0</v>
      </c>
      <c r="E19" s="81">
        <f>SUMIFS('0612 4度C'!$Z:$Z,'0612 4度C'!$A:$A,"新豐2線",'0612 4度C'!$B:$B,"平均")</f>
        <v>0</v>
      </c>
      <c r="F19" s="81">
        <f>SUMIFS('0612 4度C'!$Z:$Z,'0612 4度C'!$A:$A,"新豐5線",'0612 4度C'!$B:$B,"平均")</f>
        <v>0</v>
      </c>
      <c r="G19" s="81">
        <f>SUMIFS('0612 4度C'!$Z:$Z,'0612 4度C'!$A:$A,"新豐7線",'0612 4度C'!$B:$B,"平均")</f>
        <v>0</v>
      </c>
      <c r="H19" s="81">
        <f>SUMIFS('0612 4度C'!$Z:$Z,'0612 4度C'!$A:$A,"新豐3線",'0612 4度C'!$B:$B,"平均")</f>
        <v>0</v>
      </c>
      <c r="I19" s="81">
        <f>SUMIFS('0612 4度C'!$Z:$Z,'0612 4度C'!$A:$A,"新豐1線",'0612 4度C'!$B:$B,"平均")</f>
        <v>0</v>
      </c>
      <c r="J19" s="82">
        <f>SUMIFS('0612 4度C'!$Z:$Z,'0612 4度C'!$A:$A,"新豐10線",'0612 4度C'!$B:$B,"平均")</f>
        <v>0</v>
      </c>
      <c r="K19" s="83">
        <f>SUMIFS('0612 4度C'!$Z:$Z,'0612 4度C'!$A:$A,"新豐8線",'0612 4度C'!$B:$B,"平均")</f>
        <v>0</v>
      </c>
      <c r="L19" s="81">
        <f>SUMIFS('0612 4度C'!$Z:$Z,'0612 4度C'!$A:$A,"新豐9線",'0612 4度C'!$B:$B,"平均")</f>
        <v>0</v>
      </c>
      <c r="M19" s="82">
        <f>SUMIFS('0612 4度C'!$Z:$Z,'0612 4度C'!$A:$A,"新豐4線",'0612 4度C'!$B:$B,"平均")</f>
        <v>0</v>
      </c>
    </row>
    <row r="20" spans="2:13" ht="17.25" customHeight="1">
      <c r="B20" s="551" t="s">
        <v>1169</v>
      </c>
      <c r="C20" s="79" t="s">
        <v>601</v>
      </c>
      <c r="D20" s="80">
        <f>SUMIFS('0612 4度C'!$AC:$AC,'0612 4度C'!$A:$A,"新豐6線",'0612 4度C'!$B:$B,"平均")</f>
        <v>3</v>
      </c>
      <c r="E20" s="81">
        <f>SUMIFS('0612 4度C'!$AC:$AC,'0612 4度C'!$A:$A,"新豐2線",'0612 4度C'!$B:$B,"平均")</f>
        <v>4</v>
      </c>
      <c r="F20" s="81">
        <f>SUMIFS('0612 4度C'!$AC:$AC,'0612 4度C'!$A:$A,"新豐5線",'0612 4度C'!$B:$B,"平均")</f>
        <v>7</v>
      </c>
      <c r="G20" s="81">
        <f>SUMIFS('0612 4度C'!$AC:$AC,'0612 4度C'!$A:$A,"新豐7線",'0612 4度C'!$B:$B,"平均")</f>
        <v>7</v>
      </c>
      <c r="H20" s="81">
        <f>SUMIFS('0612 4度C'!$AC:$AC,'0612 4度C'!$A:$A,"新豐3線",'0612 4度C'!$B:$B,"平均")</f>
        <v>4</v>
      </c>
      <c r="I20" s="81">
        <f>SUMIFS('0612 4度C'!$AC:$AC,'0612 4度C'!$A:$A,"新豐1線",'0612 4度C'!$B:$B,"平均")</f>
        <v>7</v>
      </c>
      <c r="J20" s="82">
        <f>SUMIFS('0612 4度C'!$AC:$AC,'0612 4度C'!$A:$A,"新豐10線",'0612 4度C'!$B:$B,"平均")</f>
        <v>5</v>
      </c>
      <c r="K20" s="83">
        <f>SUMIFS('0612 4度C'!$AC:$AC,'0612 4度C'!$A:$A,"新豐8線",'0612 4度C'!$B:$B,"平均")</f>
        <v>5</v>
      </c>
      <c r="L20" s="81">
        <f>SUMIFS('0612 4度C'!$AC:$AC,'0612 4度C'!$A:$A,"新豐9線",'0612 4度C'!$B:$B,"平均")</f>
        <v>6</v>
      </c>
      <c r="M20" s="82">
        <f>SUMIFS('0612 4度C'!$AC:$AC,'0612 4度C'!$A:$A,"新豐4線",'0612 4度C'!$B:$B,"平均")</f>
        <v>5</v>
      </c>
    </row>
    <row r="21" spans="2:13" ht="17.25" customHeight="1">
      <c r="B21" s="552"/>
      <c r="C21" s="79" t="s">
        <v>120</v>
      </c>
      <c r="D21" s="80">
        <f>SUMIFS('0612 4度C'!$AD:$AD,'0612 4度C'!$A:$A,"新豐6線",'0612 4度C'!$B:$B,"平均")</f>
        <v>0</v>
      </c>
      <c r="E21" s="81">
        <f>SUMIFS('0612 4度C'!$AD:$AD,'0612 4度C'!$A:$A,"新豐2線",'0612 4度C'!$B:$B,"平均")</f>
        <v>0</v>
      </c>
      <c r="F21" s="81">
        <f>SUMIFS('0612 4度C'!$AD:$AD,'0612 4度C'!$A:$A,"新豐5線",'0612 4度C'!$B:$B,"平均")</f>
        <v>0</v>
      </c>
      <c r="G21" s="81">
        <f>SUMIFS('0612 4度C'!$AD:$AD,'0612 4度C'!$A:$A,"新豐7線",'0612 4度C'!$B:$B,"平均")</f>
        <v>0</v>
      </c>
      <c r="H21" s="81">
        <f>SUMIFS('0612 4度C'!$AD:$AD,'0612 4度C'!$A:$A,"新豐3線",'0612 4度C'!$B:$B,"平均")</f>
        <v>0</v>
      </c>
      <c r="I21" s="81">
        <f>SUMIFS('0612 4度C'!$AD:$AD,'0612 4度C'!$A:$A,"新豐1線",'0612 4度C'!$B:$B,"平均")</f>
        <v>0</v>
      </c>
      <c r="J21" s="82">
        <f>SUMIFS('0612 4度C'!$AD:$AD,'0612 4度C'!$A:$A,"新豐10線",'0612 4度C'!$B:$B,"平均")</f>
        <v>0</v>
      </c>
      <c r="K21" s="83">
        <f>SUMIFS('0612 4度C'!$AD:$AD,'0612 4度C'!$A:$A,"新豐8線",'0612 4度C'!$B:$B,"平均")</f>
        <v>0</v>
      </c>
      <c r="L21" s="81">
        <f>SUMIFS('0612 4度C'!$AD:$AD,'0612 4度C'!$A:$A,"新豐9線",'0612 4度C'!$B:$B,"平均")</f>
        <v>0</v>
      </c>
      <c r="M21" s="82">
        <f>SUMIFS('0612 4度C'!$AD:$AD,'0612 4度C'!$A:$A,"新豐4線",'0612 4度C'!$B:$B,"平均")</f>
        <v>0</v>
      </c>
    </row>
    <row r="22" spans="2:13" ht="17.25" customHeight="1">
      <c r="B22" s="553" t="s">
        <v>689</v>
      </c>
      <c r="C22" s="554"/>
      <c r="D22" s="84">
        <f>SUMIFS('0612 4度C'!$I:$I,'0612 4度C'!$A:$A,"新豐6線",'0612 4度C'!$B:$B,"平均")</f>
        <v>15.333333333333334</v>
      </c>
      <c r="E22" s="85">
        <f>SUMIFS('0612 4度C'!$I:$I,'0612 4度C'!$A:$A,"新豐2線",'0612 4度C'!$B:$B,"平均")</f>
        <v>17.25</v>
      </c>
      <c r="F22" s="85">
        <f>SUMIFS('0612 4度C'!$I:$I,'0612 4度C'!$A:$A,"新豐5線",'0612 4度C'!$B:$B,"平均")</f>
        <v>18.714285714285715</v>
      </c>
      <c r="G22" s="85">
        <f>SUMIFS('0612 4度C'!$I:$I,'0612 4度C'!$A:$A,"新豐7線",'0612 4度C'!$B:$B,"平均")</f>
        <v>15</v>
      </c>
      <c r="H22" s="85">
        <f>SUMIFS('0612 4度C'!$I:$I,'0612 4度C'!$A:$A,"新豐3線",'0612 4度C'!$B:$B,"平均")</f>
        <v>10.75</v>
      </c>
      <c r="I22" s="85">
        <f>SUMIFS('0612 4度C'!$I:$I,'0612 4度C'!$A:$A,"新豐1線",'0612 4度C'!$B:$B,"平均")</f>
        <v>18.428571428571427</v>
      </c>
      <c r="J22" s="86">
        <f>SUMIFS('0612 4度C'!$I:$I,'0612 4度C'!$A:$A,"新豐10線",'0612 4度C'!$B:$B,"平均")</f>
        <v>9.4</v>
      </c>
      <c r="K22" s="84">
        <f>SUMIFS('0612 4度C'!$I:$I,'0612 4度C'!$A:$A,"新豐8線",'0612 4度C'!$B:$B,"平均")</f>
        <v>17.2</v>
      </c>
      <c r="L22" s="85">
        <f>SUMIFS('0612 4度C'!$I:$I,'0612 4度C'!$A:$A,"新豐9線",'0612 4度C'!$B:$B,"平均")</f>
        <v>17.333333333333332</v>
      </c>
      <c r="M22" s="86">
        <f>SUMIFS('0612 4度C'!$I:$I,'0612 4度C'!$A:$A,"新豐4線",'0612 4度C'!$B:$B,"平均")</f>
        <v>15.6</v>
      </c>
    </row>
    <row r="23" spans="2:13" ht="17.25" customHeight="1">
      <c r="B23" s="553" t="s">
        <v>216</v>
      </c>
      <c r="C23" s="554"/>
      <c r="D23" s="87" t="s">
        <v>71</v>
      </c>
      <c r="E23" s="88" t="s">
        <v>72</v>
      </c>
      <c r="F23" s="88" t="s">
        <v>217</v>
      </c>
      <c r="G23" s="88" t="s">
        <v>217</v>
      </c>
      <c r="H23" s="88" t="s">
        <v>73</v>
      </c>
      <c r="I23" s="88" t="s">
        <v>71</v>
      </c>
      <c r="J23" s="89" t="s">
        <v>73</v>
      </c>
      <c r="K23" s="87" t="s">
        <v>692</v>
      </c>
      <c r="L23" s="88" t="s">
        <v>692</v>
      </c>
      <c r="M23" s="89" t="s">
        <v>692</v>
      </c>
    </row>
    <row r="24" spans="2:13" ht="17.25" customHeight="1">
      <c r="B24" s="553" t="s">
        <v>1170</v>
      </c>
      <c r="C24" s="554"/>
      <c r="D24" s="87"/>
      <c r="E24" s="88"/>
      <c r="F24" s="88" t="s">
        <v>610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611</v>
      </c>
      <c r="C25" s="556"/>
      <c r="D25" s="90"/>
      <c r="E25" s="91" t="s">
        <v>1171</v>
      </c>
      <c r="F25" s="549" t="s">
        <v>777</v>
      </c>
      <c r="G25" s="550"/>
      <c r="H25" s="91" t="s">
        <v>778</v>
      </c>
      <c r="I25" s="91" t="s">
        <v>779</v>
      </c>
      <c r="J25" s="92" t="s">
        <v>778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8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5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697</v>
      </c>
      <c r="B1" s="1"/>
      <c r="C1" s="2" t="s">
        <v>1172</v>
      </c>
      <c r="D1" s="3">
        <f>SUM(F5:F67)</f>
        <v>152120</v>
      </c>
      <c r="E1" s="271" t="s">
        <v>1173</v>
      </c>
      <c r="F1" s="1">
        <f>SUM(G5:G67)</f>
        <v>5306675.6399999997</v>
      </c>
      <c r="G1" s="1" t="s">
        <v>619</v>
      </c>
      <c r="H1" s="4">
        <f>L8+L13+L47+L55+L21+L61+L35+L42+L29+L67</f>
        <v>155.00952380952381</v>
      </c>
      <c r="I1" s="663" t="s">
        <v>620</v>
      </c>
      <c r="J1" s="663"/>
      <c r="K1" s="663"/>
      <c r="L1" s="663" t="s">
        <v>1174</v>
      </c>
      <c r="M1" s="663"/>
      <c r="N1" s="663"/>
      <c r="O1" s="663" t="s">
        <v>902</v>
      </c>
      <c r="P1" s="663"/>
      <c r="Q1" s="663"/>
      <c r="R1" s="663"/>
      <c r="S1" s="663" t="s">
        <v>1175</v>
      </c>
      <c r="T1" s="663"/>
      <c r="U1" s="663"/>
      <c r="V1" s="663"/>
      <c r="W1" s="663"/>
      <c r="X1" s="663"/>
      <c r="Y1" s="5" t="s">
        <v>1176</v>
      </c>
      <c r="Z1" s="6" t="s">
        <v>706</v>
      </c>
      <c r="AA1" s="664" t="s">
        <v>1177</v>
      </c>
      <c r="AB1" s="664"/>
      <c r="AC1" s="188" t="s">
        <v>1176</v>
      </c>
      <c r="AD1" s="6" t="s">
        <v>143</v>
      </c>
      <c r="AE1" s="663" t="s">
        <v>628</v>
      </c>
      <c r="AF1" s="665"/>
      <c r="AG1" s="665"/>
    </row>
    <row r="2" spans="1:33" ht="26.25" customHeight="1">
      <c r="A2" s="27">
        <v>46185</v>
      </c>
      <c r="B2" s="28" t="s">
        <v>524</v>
      </c>
      <c r="C2" s="2" t="s">
        <v>109</v>
      </c>
      <c r="D2" s="8">
        <f>AVERAGE(N8,N13,N47,N55,N21,N61,N29,N35,N42,N67)</f>
        <v>147.86448584403692</v>
      </c>
      <c r="E2" s="9" t="s">
        <v>0</v>
      </c>
      <c r="F2" s="10">
        <f>F1/D1</f>
        <v>34.884799105968966</v>
      </c>
      <c r="G2" s="1" t="s">
        <v>631</v>
      </c>
      <c r="H2" s="278">
        <f>COUNT(H5:H67)</f>
        <v>2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SUM(Y8+Y13+Y21+Y29+Y35+Y42+Y47+Y55+Y61+Y67)</f>
        <v>0</v>
      </c>
      <c r="Z2" s="11">
        <f>SUM(Z8+Z13+Z21+Z29+Z35+Z42+Z47+Z55+Z61+Z67)</f>
        <v>0</v>
      </c>
      <c r="AA2" s="664"/>
      <c r="AB2" s="664"/>
      <c r="AC2" s="11">
        <v>53</v>
      </c>
      <c r="AD2" s="11">
        <f>SUM(AD8+AD13+AD21+AD29+AD35+AD42+AD47+AD55+AD61+AD67)</f>
        <v>0</v>
      </c>
      <c r="AE2" s="665"/>
      <c r="AF2" s="665"/>
      <c r="AG2" s="665"/>
    </row>
    <row r="3" spans="1:33" ht="40.5" customHeight="1">
      <c r="A3" s="617" t="s">
        <v>1178</v>
      </c>
      <c r="B3" s="617" t="s">
        <v>633</v>
      </c>
      <c r="C3" s="617" t="s">
        <v>1179</v>
      </c>
      <c r="D3" s="617"/>
      <c r="E3" s="661" t="s">
        <v>1180</v>
      </c>
      <c r="F3" s="617" t="s">
        <v>1181</v>
      </c>
      <c r="G3" s="661" t="s">
        <v>1182</v>
      </c>
      <c r="H3" s="654" t="s">
        <v>1183</v>
      </c>
      <c r="I3" s="652" t="s">
        <v>639</v>
      </c>
      <c r="J3" s="649" t="s">
        <v>1184</v>
      </c>
      <c r="K3" s="659" t="s">
        <v>1185</v>
      </c>
      <c r="L3" s="652" t="s">
        <v>639</v>
      </c>
      <c r="M3" s="649" t="s">
        <v>537</v>
      </c>
      <c r="N3" s="659" t="s">
        <v>1185</v>
      </c>
      <c r="O3" s="652" t="s">
        <v>639</v>
      </c>
      <c r="P3" s="659" t="s">
        <v>109</v>
      </c>
      <c r="Q3" s="650" t="s">
        <v>1186</v>
      </c>
      <c r="R3" s="630" t="s">
        <v>1187</v>
      </c>
      <c r="S3" s="660" t="s">
        <v>1</v>
      </c>
      <c r="T3" s="660"/>
      <c r="U3" s="654" t="s">
        <v>2</v>
      </c>
      <c r="V3" s="654" t="s">
        <v>1188</v>
      </c>
      <c r="W3" s="617" t="s">
        <v>1189</v>
      </c>
      <c r="X3" s="617"/>
      <c r="Y3" s="655" t="s">
        <v>1190</v>
      </c>
      <c r="Z3" s="614"/>
      <c r="AA3" s="656" t="s">
        <v>1191</v>
      </c>
      <c r="AB3" s="657"/>
      <c r="AC3" s="655" t="s">
        <v>1192</v>
      </c>
      <c r="AD3" s="614"/>
      <c r="AE3" s="649" t="s">
        <v>1193</v>
      </c>
      <c r="AF3" s="650" t="s">
        <v>1186</v>
      </c>
      <c r="AG3" s="630" t="s">
        <v>1187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277" t="s">
        <v>3</v>
      </c>
      <c r="T4" s="277" t="s">
        <v>4</v>
      </c>
      <c r="U4" s="654"/>
      <c r="V4" s="654"/>
      <c r="W4" s="271" t="s">
        <v>1194</v>
      </c>
      <c r="X4" s="271" t="s">
        <v>1195</v>
      </c>
      <c r="Y4" s="269" t="s">
        <v>1196</v>
      </c>
      <c r="Z4" s="269" t="s">
        <v>118</v>
      </c>
      <c r="AA4" s="658"/>
      <c r="AB4" s="657"/>
      <c r="AC4" s="269" t="s">
        <v>1197</v>
      </c>
      <c r="AD4" s="269" t="s">
        <v>1198</v>
      </c>
      <c r="AE4" s="649"/>
      <c r="AF4" s="650"/>
      <c r="AG4" s="630"/>
    </row>
    <row r="5" spans="1:33">
      <c r="A5" s="651" t="s">
        <v>5</v>
      </c>
      <c r="B5" s="29" t="s">
        <v>15</v>
      </c>
      <c r="C5" s="653" t="s">
        <v>17</v>
      </c>
      <c r="D5" s="653"/>
      <c r="E5" s="29">
        <v>50.67</v>
      </c>
      <c r="F5" s="277">
        <v>1365</v>
      </c>
      <c r="G5" s="271">
        <f t="shared" ref="G5:G7" si="0">E5*F5</f>
        <v>69164.55</v>
      </c>
      <c r="H5" s="33" t="s">
        <v>57</v>
      </c>
      <c r="I5" s="275">
        <v>15</v>
      </c>
      <c r="J5" s="31">
        <v>2000</v>
      </c>
      <c r="K5" s="12">
        <f t="shared" ref="K5:K67" si="1">J5/I5</f>
        <v>133.33333333333334</v>
      </c>
      <c r="L5" s="275">
        <v>15</v>
      </c>
      <c r="M5" s="13">
        <f t="shared" ref="M5:M7" si="2">F5/V5*60</f>
        <v>1904.6511627906973</v>
      </c>
      <c r="N5" s="12">
        <f t="shared" ref="N5:N67" si="3">M5/L5</f>
        <v>126.97674418604649</v>
      </c>
      <c r="O5" s="14">
        <f t="shared" ref="O5:O67" si="4">L5-I5</f>
        <v>0</v>
      </c>
      <c r="P5" s="15">
        <f t="shared" ref="P5:P67" si="5">N5-K5</f>
        <v>-6.3565891472868543</v>
      </c>
      <c r="Q5" s="270">
        <f t="shared" ref="Q5:Q67" si="6">N5/K5</f>
        <v>0.95232558139534862</v>
      </c>
      <c r="R5" s="615">
        <f>Q8</f>
        <v>0.95778559393946894</v>
      </c>
      <c r="S5" s="34">
        <v>0.70833333333333337</v>
      </c>
      <c r="T5" s="34">
        <v>0.73819444444444449</v>
      </c>
      <c r="U5" s="271"/>
      <c r="V5" s="276">
        <f t="shared" ref="V5:V7" si="7">(T5-S5)*24*60</f>
        <v>43.000000000000007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4" si="8">M5-J5</f>
        <v>-95.348837209302701</v>
      </c>
      <c r="AF5" s="270">
        <f t="shared" ref="AF5:AF67" si="9">M5/J5</f>
        <v>0.95232558139534862</v>
      </c>
      <c r="AG5" s="615">
        <f>AF8</f>
        <v>0.95778559393946894</v>
      </c>
    </row>
    <row r="6" spans="1:33">
      <c r="A6" s="652" t="s">
        <v>1199</v>
      </c>
      <c r="B6" s="29" t="s">
        <v>15</v>
      </c>
      <c r="C6" s="653" t="s">
        <v>26</v>
      </c>
      <c r="D6" s="653"/>
      <c r="E6" s="29">
        <v>50.92</v>
      </c>
      <c r="F6" s="277">
        <v>1960</v>
      </c>
      <c r="G6" s="271">
        <f t="shared" si="0"/>
        <v>99803.199999999997</v>
      </c>
      <c r="H6" s="33" t="s">
        <v>57</v>
      </c>
      <c r="I6" s="275">
        <v>15</v>
      </c>
      <c r="J6" s="31">
        <v>2000</v>
      </c>
      <c r="K6" s="12">
        <f t="shared" si="1"/>
        <v>133.33333333333334</v>
      </c>
      <c r="L6" s="275">
        <v>15</v>
      </c>
      <c r="M6" s="13">
        <f t="shared" si="2"/>
        <v>1927.8688524590179</v>
      </c>
      <c r="N6" s="12">
        <f t="shared" si="3"/>
        <v>128.52459016393453</v>
      </c>
      <c r="O6" s="14">
        <f t="shared" si="4"/>
        <v>0</v>
      </c>
      <c r="P6" s="15">
        <f t="shared" si="5"/>
        <v>-4.8087431693988094</v>
      </c>
      <c r="Q6" s="270">
        <f t="shared" si="6"/>
        <v>0.96393442622950898</v>
      </c>
      <c r="R6" s="615"/>
      <c r="S6" s="34">
        <v>0.74375000000000002</v>
      </c>
      <c r="T6" s="34">
        <v>0.78611111111111109</v>
      </c>
      <c r="U6" s="271">
        <f t="shared" ref="U6:U7" si="10">IF(S6=TIME(17,0,0),"",(S6-T5)*24*60)</f>
        <v>7.9999999999999716</v>
      </c>
      <c r="V6" s="276">
        <f t="shared" si="7"/>
        <v>60.999999999999943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-72.131147540982056</v>
      </c>
      <c r="AF6" s="270">
        <f t="shared" si="9"/>
        <v>0.96393442622950898</v>
      </c>
      <c r="AG6" s="615"/>
    </row>
    <row r="7" spans="1:33">
      <c r="A7" s="652" t="s">
        <v>5</v>
      </c>
      <c r="B7" s="29" t="s">
        <v>15</v>
      </c>
      <c r="C7" s="644" t="s">
        <v>31</v>
      </c>
      <c r="D7" s="645"/>
      <c r="E7" s="29">
        <v>50.98</v>
      </c>
      <c r="F7" s="277">
        <v>1978</v>
      </c>
      <c r="G7" s="271">
        <f t="shared" si="0"/>
        <v>100838.43999999999</v>
      </c>
      <c r="H7" s="33" t="s">
        <v>57</v>
      </c>
      <c r="I7" s="275">
        <v>16</v>
      </c>
      <c r="J7" s="31">
        <v>2000</v>
      </c>
      <c r="K7" s="12">
        <f t="shared" si="1"/>
        <v>125</v>
      </c>
      <c r="L7" s="275">
        <v>16</v>
      </c>
      <c r="M7" s="13">
        <f t="shared" si="2"/>
        <v>1914.1935483870984</v>
      </c>
      <c r="N7" s="12">
        <f t="shared" si="3"/>
        <v>119.63709677419365</v>
      </c>
      <c r="O7" s="14">
        <f t="shared" si="4"/>
        <v>0</v>
      </c>
      <c r="P7" s="15">
        <f t="shared" si="5"/>
        <v>-5.3629032258063489</v>
      </c>
      <c r="Q7" s="270">
        <f t="shared" si="6"/>
        <v>0.95709677419354922</v>
      </c>
      <c r="R7" s="615"/>
      <c r="S7" s="34">
        <v>0.79027777777777775</v>
      </c>
      <c r="T7" s="34">
        <v>0.83333333333333326</v>
      </c>
      <c r="U7" s="271">
        <f t="shared" si="10"/>
        <v>5.9999999999999787</v>
      </c>
      <c r="V7" s="276">
        <f t="shared" si="7"/>
        <v>61.999999999999943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-85.806451612901583</v>
      </c>
      <c r="AF7" s="270">
        <f t="shared" si="9"/>
        <v>0.95709677419354922</v>
      </c>
      <c r="AG7" s="615"/>
    </row>
    <row r="8" spans="1:33">
      <c r="A8" s="652" t="s">
        <v>1199</v>
      </c>
      <c r="B8" s="29" t="s">
        <v>6</v>
      </c>
      <c r="C8" s="618"/>
      <c r="D8" s="618"/>
      <c r="E8" s="272"/>
      <c r="F8" s="30"/>
      <c r="G8" s="12"/>
      <c r="H8" s="277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1915.571187878938</v>
      </c>
      <c r="N8" s="12">
        <f t="shared" si="3"/>
        <v>124.92855573123508</v>
      </c>
      <c r="O8" s="14">
        <f t="shared" si="4"/>
        <v>0</v>
      </c>
      <c r="P8" s="15">
        <f t="shared" si="5"/>
        <v>-5.5062268774605769</v>
      </c>
      <c r="Q8" s="270">
        <f t="shared" si="6"/>
        <v>0.95778559393946894</v>
      </c>
      <c r="R8" s="615"/>
      <c r="S8" s="34"/>
      <c r="T8" s="34"/>
      <c r="U8" s="271"/>
      <c r="V8" s="276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-84.428812121062037</v>
      </c>
      <c r="AF8" s="270">
        <f t="shared" si="9"/>
        <v>0.95778559393946894</v>
      </c>
      <c r="AG8" s="615"/>
    </row>
    <row r="9" spans="1:33" ht="15.75" customHeight="1">
      <c r="A9" s="648" t="s">
        <v>174</v>
      </c>
      <c r="B9" s="29" t="s">
        <v>19</v>
      </c>
      <c r="C9" s="644" t="s">
        <v>20</v>
      </c>
      <c r="D9" s="645"/>
      <c r="E9" s="29">
        <v>39.619999999999997</v>
      </c>
      <c r="F9" s="277">
        <v>4418</v>
      </c>
      <c r="G9" s="271">
        <f t="shared" ref="G9:G12" si="11">E9*F9</f>
        <v>175041.15999999997</v>
      </c>
      <c r="H9" s="33" t="s">
        <v>57</v>
      </c>
      <c r="I9" s="275">
        <v>19</v>
      </c>
      <c r="J9" s="31">
        <v>1500</v>
      </c>
      <c r="K9" s="12">
        <f t="shared" si="1"/>
        <v>78.94736842105263</v>
      </c>
      <c r="L9" s="275">
        <v>19</v>
      </c>
      <c r="M9" s="13">
        <f t="shared" ref="M9:M12" si="12">F9/V9*60</f>
        <v>1432.8648648648646</v>
      </c>
      <c r="N9" s="12">
        <f t="shared" si="3"/>
        <v>75.413940256045507</v>
      </c>
      <c r="O9" s="14">
        <f t="shared" si="4"/>
        <v>0</v>
      </c>
      <c r="P9" s="15">
        <f t="shared" si="5"/>
        <v>-3.5334281650071233</v>
      </c>
      <c r="Q9" s="270">
        <f t="shared" si="6"/>
        <v>0.95524324324324306</v>
      </c>
      <c r="R9" s="615">
        <f>Q13</f>
        <v>0.95532029599668011</v>
      </c>
      <c r="S9" s="34">
        <v>8.3333333333333329E-2</v>
      </c>
      <c r="T9" s="34">
        <v>0.21180555555555558</v>
      </c>
      <c r="U9" s="271"/>
      <c r="V9" s="276">
        <f t="shared" ref="V9:V12" si="13">(T9-S9)*24*60</f>
        <v>185.00000000000006</v>
      </c>
      <c r="W9" s="16">
        <f>T9</f>
        <v>0.21180555555555558</v>
      </c>
      <c r="X9" s="16">
        <f>S10</f>
        <v>0.22986111111111113</v>
      </c>
      <c r="Y9" s="16"/>
      <c r="Z9" s="16"/>
      <c r="AA9" s="617"/>
      <c r="AB9" s="617"/>
      <c r="AC9" s="35">
        <v>4</v>
      </c>
      <c r="AD9" s="18"/>
      <c r="AE9" s="14">
        <f t="shared" si="8"/>
        <v>-67.135135135135442</v>
      </c>
      <c r="AF9" s="270">
        <f t="shared" si="9"/>
        <v>0.95524324324324306</v>
      </c>
      <c r="AG9" s="615">
        <f>AF13</f>
        <v>0.95532029599668022</v>
      </c>
    </row>
    <row r="10" spans="1:33" ht="15.75" customHeight="1">
      <c r="A10" s="648" t="s">
        <v>174</v>
      </c>
      <c r="B10" s="29" t="s">
        <v>19</v>
      </c>
      <c r="C10" s="644" t="s">
        <v>83</v>
      </c>
      <c r="D10" s="645"/>
      <c r="E10" s="29">
        <v>39.46</v>
      </c>
      <c r="F10" s="277">
        <v>4323</v>
      </c>
      <c r="G10" s="271">
        <f t="shared" si="11"/>
        <v>170585.58000000002</v>
      </c>
      <c r="H10" s="33" t="s">
        <v>57</v>
      </c>
      <c r="I10" s="275">
        <v>16</v>
      </c>
      <c r="J10" s="31">
        <v>1500</v>
      </c>
      <c r="K10" s="12">
        <f t="shared" si="1"/>
        <v>93.75</v>
      </c>
      <c r="L10" s="275">
        <v>16</v>
      </c>
      <c r="M10" s="13">
        <f t="shared" si="12"/>
        <v>1433.0386740331492</v>
      </c>
      <c r="N10" s="12">
        <f t="shared" si="3"/>
        <v>89.564917127071823</v>
      </c>
      <c r="O10" s="14">
        <f t="shared" si="4"/>
        <v>0</v>
      </c>
      <c r="P10" s="15">
        <f t="shared" si="5"/>
        <v>-4.1850828729281773</v>
      </c>
      <c r="Q10" s="270">
        <f t="shared" si="6"/>
        <v>0.95535911602209944</v>
      </c>
      <c r="R10" s="615"/>
      <c r="S10" s="34">
        <v>0.22986111111111113</v>
      </c>
      <c r="T10" s="34">
        <v>0.35555555555555557</v>
      </c>
      <c r="U10" s="271">
        <f t="shared" ref="U10:U12" si="14">IF(S10=TIME(17,0,0),"",(S10-T9)*24*60)</f>
        <v>25.999999999999986</v>
      </c>
      <c r="V10" s="276">
        <f t="shared" si="13"/>
        <v>181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-66.961325966850836</v>
      </c>
      <c r="AF10" s="270">
        <f t="shared" si="9"/>
        <v>0.95535911602209944</v>
      </c>
      <c r="AG10" s="615"/>
    </row>
    <row r="11" spans="1:33" ht="15.75" customHeight="1">
      <c r="A11" s="648" t="s">
        <v>174</v>
      </c>
      <c r="B11" s="29" t="s">
        <v>19</v>
      </c>
      <c r="C11" s="644" t="s">
        <v>21</v>
      </c>
      <c r="D11" s="645"/>
      <c r="E11" s="29">
        <v>39.799999999999997</v>
      </c>
      <c r="F11" s="277">
        <v>4000</v>
      </c>
      <c r="G11" s="271">
        <f t="shared" si="11"/>
        <v>159200</v>
      </c>
      <c r="H11" s="33">
        <v>2</v>
      </c>
      <c r="I11" s="275">
        <v>17</v>
      </c>
      <c r="J11" s="31">
        <v>1500</v>
      </c>
      <c r="K11" s="12">
        <f t="shared" si="1"/>
        <v>88.235294117647058</v>
      </c>
      <c r="L11" s="275">
        <v>17</v>
      </c>
      <c r="M11" s="13">
        <f t="shared" si="12"/>
        <v>1428.5714285714289</v>
      </c>
      <c r="N11" s="12">
        <f t="shared" si="3"/>
        <v>84.033613445378165</v>
      </c>
      <c r="O11" s="14">
        <f t="shared" si="4"/>
        <v>0</v>
      </c>
      <c r="P11" s="15">
        <f t="shared" si="5"/>
        <v>-4.2016806722688926</v>
      </c>
      <c r="Q11" s="270">
        <f t="shared" si="6"/>
        <v>0.95238095238095255</v>
      </c>
      <c r="R11" s="615"/>
      <c r="S11" s="34">
        <v>0.35972222222222222</v>
      </c>
      <c r="T11" s="34">
        <v>0.47638888888888886</v>
      </c>
      <c r="U11" s="271">
        <f t="shared" si="14"/>
        <v>5.9999999999999787</v>
      </c>
      <c r="V11" s="276">
        <f t="shared" si="13"/>
        <v>167.99999999999997</v>
      </c>
      <c r="W11" s="16">
        <f>T11</f>
        <v>0.47638888888888886</v>
      </c>
      <c r="X11" s="16">
        <f>S12</f>
        <v>0.51666666666666661</v>
      </c>
      <c r="Y11" s="16"/>
      <c r="Z11" s="16"/>
      <c r="AA11" s="617"/>
      <c r="AB11" s="617"/>
      <c r="AC11" s="35"/>
      <c r="AD11" s="18"/>
      <c r="AE11" s="14">
        <f t="shared" si="8"/>
        <v>-71.428571428571104</v>
      </c>
      <c r="AF11" s="270">
        <f t="shared" si="9"/>
        <v>0.95238095238095255</v>
      </c>
      <c r="AG11" s="615"/>
    </row>
    <row r="12" spans="1:33" ht="15.75" customHeight="1">
      <c r="A12" s="648" t="s">
        <v>1200</v>
      </c>
      <c r="B12" s="29" t="s">
        <v>19</v>
      </c>
      <c r="C12" s="644" t="s">
        <v>21</v>
      </c>
      <c r="D12" s="645"/>
      <c r="E12" s="29">
        <v>39.799999999999997</v>
      </c>
      <c r="F12" s="277">
        <v>2252</v>
      </c>
      <c r="G12" s="271">
        <f t="shared" si="11"/>
        <v>89629.599999999991</v>
      </c>
      <c r="H12" s="33" t="s">
        <v>57</v>
      </c>
      <c r="I12" s="275">
        <v>17</v>
      </c>
      <c r="J12" s="31">
        <v>1500</v>
      </c>
      <c r="K12" s="12">
        <f t="shared" si="1"/>
        <v>88.235294117647058</v>
      </c>
      <c r="L12" s="275">
        <v>17</v>
      </c>
      <c r="M12" s="13">
        <f t="shared" si="12"/>
        <v>1437.4468085106384</v>
      </c>
      <c r="N12" s="12">
        <f t="shared" si="3"/>
        <v>84.555694618272852</v>
      </c>
      <c r="O12" s="14">
        <f t="shared" si="4"/>
        <v>0</v>
      </c>
      <c r="P12" s="15">
        <f t="shared" si="5"/>
        <v>-3.6795994993742056</v>
      </c>
      <c r="Q12" s="270">
        <f t="shared" si="6"/>
        <v>0.95829787234042563</v>
      </c>
      <c r="R12" s="615"/>
      <c r="S12" s="34">
        <v>0.51666666666666661</v>
      </c>
      <c r="T12" s="34">
        <v>0.58194444444444438</v>
      </c>
      <c r="U12" s="271">
        <f t="shared" si="14"/>
        <v>57.999999999999957</v>
      </c>
      <c r="V12" s="276">
        <f t="shared" si="13"/>
        <v>93.999999999999986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-62.553191489361552</v>
      </c>
      <c r="AF12" s="270">
        <f t="shared" si="9"/>
        <v>0.95829787234042563</v>
      </c>
      <c r="AG12" s="615"/>
    </row>
    <row r="13" spans="1:33" ht="16.5" customHeight="1">
      <c r="A13" s="648" t="s">
        <v>1201</v>
      </c>
      <c r="B13" s="29" t="s">
        <v>6</v>
      </c>
      <c r="C13" s="618"/>
      <c r="D13" s="618"/>
      <c r="E13" s="272"/>
      <c r="F13" s="31"/>
      <c r="G13" s="13"/>
      <c r="H13" s="277"/>
      <c r="I13" s="23">
        <v>17.25</v>
      </c>
      <c r="J13" s="31">
        <v>1500</v>
      </c>
      <c r="K13" s="12">
        <f t="shared" si="1"/>
        <v>86.956521739130437</v>
      </c>
      <c r="L13" s="23">
        <v>17.25</v>
      </c>
      <c r="M13" s="13">
        <f>AVERAGE(M9:M12)</f>
        <v>1432.9804439950203</v>
      </c>
      <c r="N13" s="12">
        <f t="shared" si="3"/>
        <v>83.071330086667842</v>
      </c>
      <c r="O13" s="14">
        <f t="shared" si="4"/>
        <v>0</v>
      </c>
      <c r="P13" s="15">
        <f t="shared" si="5"/>
        <v>-3.8851916524625949</v>
      </c>
      <c r="Q13" s="270">
        <f t="shared" si="6"/>
        <v>0.95532029599668011</v>
      </c>
      <c r="R13" s="615"/>
      <c r="S13" s="34"/>
      <c r="T13" s="34"/>
      <c r="U13" s="12"/>
      <c r="V13" s="276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-67.019556004979677</v>
      </c>
      <c r="AF13" s="270">
        <f t="shared" si="9"/>
        <v>0.95532029599668022</v>
      </c>
      <c r="AG13" s="615"/>
    </row>
    <row r="14" spans="1:33" ht="16.5" customHeight="1">
      <c r="A14" s="646" t="s">
        <v>1202</v>
      </c>
      <c r="B14" s="277" t="s">
        <v>22</v>
      </c>
      <c r="C14" s="640" t="s">
        <v>23</v>
      </c>
      <c r="D14" s="640"/>
      <c r="E14" s="29">
        <v>41</v>
      </c>
      <c r="F14" s="277">
        <v>1798</v>
      </c>
      <c r="G14" s="271">
        <f t="shared" ref="G14:G20" si="15">E14*F14</f>
        <v>73718</v>
      </c>
      <c r="H14" s="33" t="s">
        <v>57</v>
      </c>
      <c r="I14" s="275">
        <v>26</v>
      </c>
      <c r="J14" s="31">
        <v>1500</v>
      </c>
      <c r="K14" s="12">
        <f t="shared" si="1"/>
        <v>57.692307692307693</v>
      </c>
      <c r="L14" s="275">
        <v>26</v>
      </c>
      <c r="M14" s="13">
        <f t="shared" ref="M14:M20" si="16">F14/V14*60</f>
        <v>1438.3999999999999</v>
      </c>
      <c r="N14" s="12">
        <f t="shared" si="3"/>
        <v>55.323076923076918</v>
      </c>
      <c r="O14" s="14">
        <f t="shared" si="4"/>
        <v>0</v>
      </c>
      <c r="P14" s="15">
        <f t="shared" si="5"/>
        <v>-2.369230769230775</v>
      </c>
      <c r="Q14" s="270">
        <f t="shared" si="6"/>
        <v>0.95893333333333319</v>
      </c>
      <c r="R14" s="615">
        <f>Q21</f>
        <v>0.95891842491009716</v>
      </c>
      <c r="S14" s="34">
        <v>8.3333333333333329E-2</v>
      </c>
      <c r="T14" s="34">
        <v>0.13541666666666666</v>
      </c>
      <c r="U14" s="271"/>
      <c r="V14" s="276">
        <f t="shared" ref="V14:V20" si="17">(T14-S14)*24*60</f>
        <v>75</v>
      </c>
      <c r="W14" s="16">
        <f>T14</f>
        <v>0.13541666666666666</v>
      </c>
      <c r="X14" s="16">
        <f>S15</f>
        <v>0.15486111111111112</v>
      </c>
      <c r="Y14" s="21"/>
      <c r="Z14" s="21"/>
      <c r="AA14" s="617"/>
      <c r="AB14" s="617"/>
      <c r="AC14" s="35">
        <v>7</v>
      </c>
      <c r="AD14" s="18"/>
      <c r="AE14" s="14">
        <f t="shared" si="8"/>
        <v>-61.600000000000136</v>
      </c>
      <c r="AF14" s="270">
        <f t="shared" si="9"/>
        <v>0.95893333333333319</v>
      </c>
      <c r="AG14" s="615">
        <f>AF21</f>
        <v>0.95891842491009727</v>
      </c>
    </row>
    <row r="15" spans="1:33" ht="16.5" customHeight="1">
      <c r="A15" s="647" t="s">
        <v>824</v>
      </c>
      <c r="B15" s="277" t="s">
        <v>22</v>
      </c>
      <c r="C15" s="640" t="s">
        <v>87</v>
      </c>
      <c r="D15" s="640"/>
      <c r="E15" s="29">
        <v>38.619999999999997</v>
      </c>
      <c r="F15" s="277">
        <v>2183</v>
      </c>
      <c r="G15" s="271">
        <f t="shared" si="15"/>
        <v>84307.459999999992</v>
      </c>
      <c r="H15" s="33" t="s">
        <v>57</v>
      </c>
      <c r="I15" s="275">
        <v>24</v>
      </c>
      <c r="J15" s="31">
        <v>1500</v>
      </c>
      <c r="K15" s="12">
        <f t="shared" si="1"/>
        <v>62.5</v>
      </c>
      <c r="L15" s="275">
        <v>24</v>
      </c>
      <c r="M15" s="13">
        <f t="shared" si="16"/>
        <v>1439.3406593406594</v>
      </c>
      <c r="N15" s="12">
        <f t="shared" si="3"/>
        <v>59.972527472527474</v>
      </c>
      <c r="O15" s="14">
        <f t="shared" si="4"/>
        <v>0</v>
      </c>
      <c r="P15" s="15">
        <f t="shared" si="5"/>
        <v>-2.5274725274725256</v>
      </c>
      <c r="Q15" s="270">
        <f t="shared" si="6"/>
        <v>0.95956043956043957</v>
      </c>
      <c r="R15" s="615"/>
      <c r="S15" s="34">
        <v>0.15486111111111112</v>
      </c>
      <c r="T15" s="34">
        <v>0.21805555555555556</v>
      </c>
      <c r="U15" s="271">
        <f t="shared" ref="U15:U20" si="18">IF(S15=TIME(17,0,0),"",(S15-T14)*24*60)</f>
        <v>28.000000000000021</v>
      </c>
      <c r="V15" s="276">
        <f t="shared" si="17"/>
        <v>91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-60.659340659340614</v>
      </c>
      <c r="AF15" s="270">
        <f t="shared" si="9"/>
        <v>0.95956043956043957</v>
      </c>
      <c r="AG15" s="615"/>
    </row>
    <row r="16" spans="1:33" ht="16.5" customHeight="1">
      <c r="A16" s="647" t="s">
        <v>824</v>
      </c>
      <c r="B16" s="277" t="s">
        <v>15</v>
      </c>
      <c r="C16" s="640" t="s">
        <v>86</v>
      </c>
      <c r="D16" s="640"/>
      <c r="E16" s="29">
        <v>37.03</v>
      </c>
      <c r="F16" s="277">
        <v>3017</v>
      </c>
      <c r="G16" s="271">
        <f t="shared" si="15"/>
        <v>111719.51000000001</v>
      </c>
      <c r="H16" s="33" t="s">
        <v>57</v>
      </c>
      <c r="I16" s="275">
        <v>13</v>
      </c>
      <c r="J16" s="31">
        <v>1500</v>
      </c>
      <c r="K16" s="12">
        <f t="shared" si="1"/>
        <v>115.38461538461539</v>
      </c>
      <c r="L16" s="275">
        <v>13</v>
      </c>
      <c r="M16" s="13">
        <f t="shared" si="16"/>
        <v>1436.6666666666663</v>
      </c>
      <c r="N16" s="12">
        <f t="shared" si="3"/>
        <v>110.51282051282048</v>
      </c>
      <c r="O16" s="14">
        <f t="shared" si="4"/>
        <v>0</v>
      </c>
      <c r="P16" s="15">
        <f t="shared" si="5"/>
        <v>-4.8717948717949042</v>
      </c>
      <c r="Q16" s="270">
        <f t="shared" si="6"/>
        <v>0.95777777777777751</v>
      </c>
      <c r="R16" s="615"/>
      <c r="S16" s="34">
        <v>0.22152777777777777</v>
      </c>
      <c r="T16" s="34">
        <v>0.30902777777777779</v>
      </c>
      <c r="U16" s="271">
        <f t="shared" si="18"/>
        <v>4.9999999999999822</v>
      </c>
      <c r="V16" s="276">
        <f t="shared" si="17"/>
        <v>126.00000000000003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-63.333333333333712</v>
      </c>
      <c r="AF16" s="270">
        <f t="shared" si="9"/>
        <v>0.95777777777777751</v>
      </c>
      <c r="AG16" s="615"/>
    </row>
    <row r="17" spans="1:33" ht="16.5" customHeight="1">
      <c r="A17" s="647" t="s">
        <v>8</v>
      </c>
      <c r="B17" s="277" t="s">
        <v>19</v>
      </c>
      <c r="C17" s="640" t="s">
        <v>267</v>
      </c>
      <c r="D17" s="640"/>
      <c r="E17" s="29">
        <v>39.520000000000003</v>
      </c>
      <c r="F17" s="277">
        <v>3681</v>
      </c>
      <c r="G17" s="271">
        <f t="shared" si="15"/>
        <v>145473.12000000002</v>
      </c>
      <c r="H17" s="33" t="s">
        <v>57</v>
      </c>
      <c r="I17" s="275">
        <v>19</v>
      </c>
      <c r="J17" s="31">
        <v>1500</v>
      </c>
      <c r="K17" s="12">
        <f t="shared" si="1"/>
        <v>78.94736842105263</v>
      </c>
      <c r="L17" s="275">
        <v>19</v>
      </c>
      <c r="M17" s="13">
        <f t="shared" si="16"/>
        <v>1434.1558441558441</v>
      </c>
      <c r="N17" s="12">
        <f t="shared" si="3"/>
        <v>75.481886534518111</v>
      </c>
      <c r="O17" s="14">
        <f t="shared" si="4"/>
        <v>0</v>
      </c>
      <c r="P17" s="15">
        <f t="shared" si="5"/>
        <v>-3.4654818865345192</v>
      </c>
      <c r="Q17" s="270">
        <f t="shared" si="6"/>
        <v>0.95610389610389612</v>
      </c>
      <c r="R17" s="615"/>
      <c r="S17" s="34">
        <v>0.31458333333333333</v>
      </c>
      <c r="T17" s="34">
        <v>0.42152777777777778</v>
      </c>
      <c r="U17" s="271">
        <f t="shared" si="18"/>
        <v>7.9999999999999716</v>
      </c>
      <c r="V17" s="276">
        <f t="shared" si="17"/>
        <v>154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-65.844155844155921</v>
      </c>
      <c r="AF17" s="270">
        <f t="shared" si="9"/>
        <v>0.95610389610389601</v>
      </c>
      <c r="AG17" s="615"/>
    </row>
    <row r="18" spans="1:33" ht="16.5" customHeight="1">
      <c r="A18" s="647" t="s">
        <v>8</v>
      </c>
      <c r="B18" s="277" t="s">
        <v>15</v>
      </c>
      <c r="C18" s="640" t="s">
        <v>25</v>
      </c>
      <c r="D18" s="640"/>
      <c r="E18" s="29">
        <v>53.68</v>
      </c>
      <c r="F18" s="277">
        <v>982</v>
      </c>
      <c r="G18" s="271">
        <f t="shared" si="15"/>
        <v>52713.760000000002</v>
      </c>
      <c r="H18" s="33" t="s">
        <v>57</v>
      </c>
      <c r="I18" s="275">
        <v>16</v>
      </c>
      <c r="J18" s="31">
        <v>1500</v>
      </c>
      <c r="K18" s="12">
        <f t="shared" si="1"/>
        <v>93.75</v>
      </c>
      <c r="L18" s="275">
        <v>16</v>
      </c>
      <c r="M18" s="13">
        <f t="shared" si="16"/>
        <v>1437.0731707317068</v>
      </c>
      <c r="N18" s="12">
        <f t="shared" si="3"/>
        <v>89.817073170731675</v>
      </c>
      <c r="O18" s="14">
        <f t="shared" si="4"/>
        <v>0</v>
      </c>
      <c r="P18" s="15">
        <f t="shared" si="5"/>
        <v>-3.9329268292683253</v>
      </c>
      <c r="Q18" s="270">
        <f t="shared" si="6"/>
        <v>0.95804878048780451</v>
      </c>
      <c r="R18" s="615"/>
      <c r="S18" s="34">
        <v>0.70833333333333337</v>
      </c>
      <c r="T18" s="34">
        <v>0.7368055555555556</v>
      </c>
      <c r="U18" s="271" t="str">
        <f t="shared" si="18"/>
        <v/>
      </c>
      <c r="V18" s="276">
        <f t="shared" si="17"/>
        <v>41.000000000000014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-62.926829268293204</v>
      </c>
      <c r="AF18" s="270">
        <f t="shared" si="9"/>
        <v>0.95804878048780451</v>
      </c>
      <c r="AG18" s="615"/>
    </row>
    <row r="19" spans="1:33" ht="16.5" customHeight="1">
      <c r="A19" s="647" t="s">
        <v>8</v>
      </c>
      <c r="B19" s="277" t="s">
        <v>15</v>
      </c>
      <c r="C19" s="273" t="s">
        <v>18</v>
      </c>
      <c r="D19" s="274"/>
      <c r="E19" s="29">
        <v>52.86</v>
      </c>
      <c r="F19" s="277">
        <v>1220</v>
      </c>
      <c r="G19" s="271">
        <f t="shared" si="15"/>
        <v>64489.2</v>
      </c>
      <c r="H19" s="33" t="s">
        <v>57</v>
      </c>
      <c r="I19" s="275">
        <v>16</v>
      </c>
      <c r="J19" s="31">
        <v>2000</v>
      </c>
      <c r="K19" s="12">
        <f t="shared" si="1"/>
        <v>125</v>
      </c>
      <c r="L19" s="275">
        <v>16</v>
      </c>
      <c r="M19" s="13">
        <f t="shared" si="16"/>
        <v>1926.3157894736828</v>
      </c>
      <c r="N19" s="12">
        <f t="shared" si="3"/>
        <v>120.39473684210517</v>
      </c>
      <c r="O19" s="14">
        <f t="shared" si="4"/>
        <v>0</v>
      </c>
      <c r="P19" s="15">
        <f t="shared" si="5"/>
        <v>-4.6052631578948251</v>
      </c>
      <c r="Q19" s="270">
        <f t="shared" si="6"/>
        <v>0.96315789473684144</v>
      </c>
      <c r="R19" s="615"/>
      <c r="S19" s="34">
        <v>0.74097222222222225</v>
      </c>
      <c r="T19" s="34">
        <v>0.76736111111111116</v>
      </c>
      <c r="U19" s="271">
        <f t="shared" si="18"/>
        <v>5.9999999999999787</v>
      </c>
      <c r="V19" s="276">
        <f t="shared" si="17"/>
        <v>38.000000000000028</v>
      </c>
      <c r="W19" s="16"/>
      <c r="X19" s="16"/>
      <c r="Y19" s="19"/>
      <c r="Z19" s="19"/>
      <c r="AA19" s="266"/>
      <c r="AB19" s="267"/>
      <c r="AC19" s="35"/>
      <c r="AD19" s="18"/>
      <c r="AE19" s="14">
        <f t="shared" si="8"/>
        <v>-73.684210526317202</v>
      </c>
      <c r="AF19" s="270">
        <f t="shared" si="9"/>
        <v>0.96315789473684144</v>
      </c>
      <c r="AG19" s="615"/>
    </row>
    <row r="20" spans="1:33" ht="16.5" customHeight="1">
      <c r="A20" s="647" t="s">
        <v>8</v>
      </c>
      <c r="B20" s="277" t="s">
        <v>15</v>
      </c>
      <c r="C20" s="273" t="s">
        <v>16</v>
      </c>
      <c r="D20" s="274"/>
      <c r="E20" s="29">
        <v>50.67</v>
      </c>
      <c r="F20" s="277">
        <v>1309</v>
      </c>
      <c r="G20" s="271">
        <f t="shared" si="15"/>
        <v>66327.03</v>
      </c>
      <c r="H20" s="33" t="s">
        <v>57</v>
      </c>
      <c r="I20" s="275">
        <v>17</v>
      </c>
      <c r="J20" s="31">
        <v>2000</v>
      </c>
      <c r="K20" s="12">
        <f t="shared" si="1"/>
        <v>117.64705882352941</v>
      </c>
      <c r="L20" s="275">
        <v>17</v>
      </c>
      <c r="M20" s="13">
        <f t="shared" si="16"/>
        <v>1915.6097560975602</v>
      </c>
      <c r="N20" s="12">
        <f t="shared" si="3"/>
        <v>112.68292682926824</v>
      </c>
      <c r="O20" s="14">
        <f t="shared" si="4"/>
        <v>0</v>
      </c>
      <c r="P20" s="15">
        <f t="shared" si="5"/>
        <v>-4.9641319942611659</v>
      </c>
      <c r="Q20" s="270">
        <f t="shared" si="6"/>
        <v>0.95780487804878012</v>
      </c>
      <c r="R20" s="615"/>
      <c r="S20" s="34">
        <v>0.77152777777777781</v>
      </c>
      <c r="T20" s="34">
        <v>0.8</v>
      </c>
      <c r="U20" s="271">
        <f t="shared" si="18"/>
        <v>5.9999999999999787</v>
      </c>
      <c r="V20" s="276">
        <f t="shared" si="17"/>
        <v>41.000000000000014</v>
      </c>
      <c r="W20" s="16"/>
      <c r="X20" s="16"/>
      <c r="Y20" s="19"/>
      <c r="Z20" s="19"/>
      <c r="AA20" s="266"/>
      <c r="AB20" s="267"/>
      <c r="AC20" s="35"/>
      <c r="AD20" s="18"/>
      <c r="AE20" s="14">
        <f t="shared" si="8"/>
        <v>-84.390243902439806</v>
      </c>
      <c r="AF20" s="270">
        <f t="shared" si="9"/>
        <v>0.95780487804878012</v>
      </c>
      <c r="AG20" s="615"/>
    </row>
    <row r="21" spans="1:33" ht="16.5" customHeight="1">
      <c r="A21" s="647" t="s">
        <v>8</v>
      </c>
      <c r="B21" s="29" t="s">
        <v>6</v>
      </c>
      <c r="C21" s="618"/>
      <c r="D21" s="618"/>
      <c r="E21" s="272"/>
      <c r="F21" s="30"/>
      <c r="G21" s="12"/>
      <c r="H21" s="277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1575.3659837808741</v>
      </c>
      <c r="N21" s="12">
        <f t="shared" si="3"/>
        <v>84.179861728748989</v>
      </c>
      <c r="O21" s="14">
        <f t="shared" si="4"/>
        <v>0</v>
      </c>
      <c r="P21" s="15">
        <f t="shared" si="5"/>
        <v>-3.6063978132357448</v>
      </c>
      <c r="Q21" s="270">
        <f t="shared" si="6"/>
        <v>0.95891842491009716</v>
      </c>
      <c r="R21" s="615"/>
      <c r="S21" s="34"/>
      <c r="T21" s="34"/>
      <c r="U21" s="271"/>
      <c r="V21" s="276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-67.491159076268787</v>
      </c>
      <c r="AF21" s="270">
        <f t="shared" si="9"/>
        <v>0.95891842491009727</v>
      </c>
      <c r="AG21" s="615"/>
    </row>
    <row r="22" spans="1:33" ht="15.75" customHeight="1">
      <c r="A22" s="642" t="s">
        <v>9</v>
      </c>
      <c r="B22" s="29" t="s">
        <v>15</v>
      </c>
      <c r="C22" s="640" t="s">
        <v>24</v>
      </c>
      <c r="D22" s="640"/>
      <c r="E22" s="29">
        <v>54.09</v>
      </c>
      <c r="F22" s="277">
        <v>1156</v>
      </c>
      <c r="G22" s="271">
        <f t="shared" ref="G22:G28" si="19">E22*F22</f>
        <v>62528.04</v>
      </c>
      <c r="H22" s="33" t="s">
        <v>57</v>
      </c>
      <c r="I22" s="275">
        <v>17</v>
      </c>
      <c r="J22" s="31">
        <v>1500</v>
      </c>
      <c r="K22" s="12">
        <f t="shared" si="1"/>
        <v>88.235294117647058</v>
      </c>
      <c r="L22" s="275">
        <v>17</v>
      </c>
      <c r="M22" s="13">
        <f t="shared" ref="M22:M28" si="20">F22/V22*60</f>
        <v>1445.0000000000005</v>
      </c>
      <c r="N22" s="12">
        <f t="shared" si="3"/>
        <v>85.000000000000028</v>
      </c>
      <c r="O22" s="14">
        <f t="shared" si="4"/>
        <v>0</v>
      </c>
      <c r="P22" s="15">
        <f t="shared" si="5"/>
        <v>-3.2352941176470296</v>
      </c>
      <c r="Q22" s="270">
        <f t="shared" si="6"/>
        <v>0.96333333333333371</v>
      </c>
      <c r="R22" s="615">
        <f>Q29</f>
        <v>0.95813372362950855</v>
      </c>
      <c r="S22" s="34">
        <v>0.20833333333333334</v>
      </c>
      <c r="T22" s="34">
        <v>0.24166666666666667</v>
      </c>
      <c r="U22" s="271"/>
      <c r="V22" s="276">
        <f t="shared" ref="V22:V28" si="21">(T22-S22)*24*60</f>
        <v>47.999999999999986</v>
      </c>
      <c r="W22" s="21"/>
      <c r="X22" s="21"/>
      <c r="Y22" s="21"/>
      <c r="Z22" s="21"/>
      <c r="AA22" s="617"/>
      <c r="AB22" s="617"/>
      <c r="AC22" s="35">
        <v>7</v>
      </c>
      <c r="AD22" s="18"/>
      <c r="AE22" s="14">
        <f t="shared" si="8"/>
        <v>-54.999999999999545</v>
      </c>
      <c r="AF22" s="270">
        <f t="shared" si="9"/>
        <v>0.9633333333333336</v>
      </c>
      <c r="AG22" s="615">
        <f>AF29</f>
        <v>0.95813372362950855</v>
      </c>
    </row>
    <row r="23" spans="1:33" ht="15.75" customHeight="1">
      <c r="A23" s="643" t="s">
        <v>1203</v>
      </c>
      <c r="B23" s="29" t="s">
        <v>15</v>
      </c>
      <c r="C23" s="640" t="s">
        <v>28</v>
      </c>
      <c r="D23" s="640"/>
      <c r="E23" s="29">
        <v>50.67</v>
      </c>
      <c r="F23" s="277">
        <v>1652</v>
      </c>
      <c r="G23" s="271">
        <f t="shared" si="19"/>
        <v>83706.84</v>
      </c>
      <c r="H23" s="33" t="s">
        <v>57</v>
      </c>
      <c r="I23" s="275">
        <v>17</v>
      </c>
      <c r="J23" s="31">
        <v>2000</v>
      </c>
      <c r="K23" s="12">
        <f t="shared" si="1"/>
        <v>117.64705882352941</v>
      </c>
      <c r="L23" s="275">
        <v>17</v>
      </c>
      <c r="M23" s="13">
        <f t="shared" si="20"/>
        <v>1906.1538461538473</v>
      </c>
      <c r="N23" s="12">
        <f t="shared" si="3"/>
        <v>112.12669683257926</v>
      </c>
      <c r="O23" s="14">
        <f t="shared" si="4"/>
        <v>0</v>
      </c>
      <c r="P23" s="15">
        <f t="shared" si="5"/>
        <v>-5.5203619909501498</v>
      </c>
      <c r="Q23" s="270">
        <f t="shared" si="6"/>
        <v>0.95307692307692371</v>
      </c>
      <c r="R23" s="615"/>
      <c r="S23" s="34">
        <v>0.24652777777777779</v>
      </c>
      <c r="T23" s="34">
        <v>0.28263888888888888</v>
      </c>
      <c r="U23" s="271">
        <f t="shared" ref="U23:U28" si="22">IF(S23=TIME(17,0,0),"",(S23-T22)*24*60)</f>
        <v>7.0000000000000151</v>
      </c>
      <c r="V23" s="276">
        <f t="shared" si="21"/>
        <v>51.999999999999972</v>
      </c>
      <c r="W23" s="16"/>
      <c r="X23" s="271"/>
      <c r="Y23" s="271"/>
      <c r="Z23" s="271"/>
      <c r="AA23" s="617"/>
      <c r="AB23" s="617"/>
      <c r="AC23" s="35"/>
      <c r="AD23" s="18"/>
      <c r="AE23" s="14">
        <f t="shared" si="8"/>
        <v>-93.846153846152674</v>
      </c>
      <c r="AF23" s="270">
        <f t="shared" si="9"/>
        <v>0.95307692307692371</v>
      </c>
      <c r="AG23" s="615"/>
    </row>
    <row r="24" spans="1:33" ht="15.75" customHeight="1">
      <c r="A24" s="643" t="s">
        <v>9</v>
      </c>
      <c r="B24" s="29" t="s">
        <v>15</v>
      </c>
      <c r="C24" s="640" t="s">
        <v>29</v>
      </c>
      <c r="D24" s="640"/>
      <c r="E24" s="29">
        <v>57.73</v>
      </c>
      <c r="F24" s="277">
        <v>2095</v>
      </c>
      <c r="G24" s="271">
        <f t="shared" si="19"/>
        <v>120944.34999999999</v>
      </c>
      <c r="H24" s="33" t="s">
        <v>57</v>
      </c>
      <c r="I24" s="275">
        <v>14</v>
      </c>
      <c r="J24" s="31">
        <v>2000</v>
      </c>
      <c r="K24" s="12">
        <f t="shared" si="1"/>
        <v>142.85714285714286</v>
      </c>
      <c r="L24" s="275">
        <v>14</v>
      </c>
      <c r="M24" s="13">
        <f t="shared" si="20"/>
        <v>1904.5454545454545</v>
      </c>
      <c r="N24" s="12">
        <f t="shared" si="3"/>
        <v>136.03896103896105</v>
      </c>
      <c r="O24" s="14">
        <f t="shared" si="4"/>
        <v>0</v>
      </c>
      <c r="P24" s="15">
        <f t="shared" si="5"/>
        <v>-6.818181818181813</v>
      </c>
      <c r="Q24" s="270">
        <f t="shared" si="6"/>
        <v>0.95227272727272727</v>
      </c>
      <c r="R24" s="615"/>
      <c r="S24" s="34">
        <v>0.28611111111111109</v>
      </c>
      <c r="T24" s="34">
        <v>0.33194444444444443</v>
      </c>
      <c r="U24" s="271">
        <f t="shared" si="22"/>
        <v>4.9999999999999822</v>
      </c>
      <c r="V24" s="276">
        <f t="shared" si="21"/>
        <v>66</v>
      </c>
      <c r="W24" s="16"/>
      <c r="X24" s="271"/>
      <c r="Y24" s="271"/>
      <c r="Z24" s="271"/>
      <c r="AA24" s="617"/>
      <c r="AB24" s="617"/>
      <c r="AC24" s="35"/>
      <c r="AD24" s="18"/>
      <c r="AE24" s="14">
        <f t="shared" si="8"/>
        <v>-95.454545454545496</v>
      </c>
      <c r="AF24" s="270">
        <f t="shared" si="9"/>
        <v>0.95227272727272727</v>
      </c>
      <c r="AG24" s="615"/>
    </row>
    <row r="25" spans="1:33" ht="15.75" customHeight="1">
      <c r="A25" s="643" t="s">
        <v>9</v>
      </c>
      <c r="B25" s="29" t="s">
        <v>15</v>
      </c>
      <c r="C25" s="640" t="s">
        <v>80</v>
      </c>
      <c r="D25" s="640"/>
      <c r="E25" s="29">
        <v>53.27</v>
      </c>
      <c r="F25" s="277">
        <v>1508</v>
      </c>
      <c r="G25" s="271">
        <f t="shared" si="19"/>
        <v>80331.16</v>
      </c>
      <c r="H25" s="33" t="s">
        <v>57</v>
      </c>
      <c r="I25" s="275">
        <v>16</v>
      </c>
      <c r="J25" s="31">
        <v>2000</v>
      </c>
      <c r="K25" s="12">
        <f t="shared" si="1"/>
        <v>125</v>
      </c>
      <c r="L25" s="275">
        <v>16</v>
      </c>
      <c r="M25" s="13">
        <f t="shared" si="20"/>
        <v>1925.1063829787238</v>
      </c>
      <c r="N25" s="12">
        <f t="shared" si="3"/>
        <v>120.31914893617024</v>
      </c>
      <c r="O25" s="14">
        <f t="shared" si="4"/>
        <v>0</v>
      </c>
      <c r="P25" s="15">
        <f t="shared" si="5"/>
        <v>-4.6808510638297633</v>
      </c>
      <c r="Q25" s="270">
        <f t="shared" si="6"/>
        <v>0.96255319148936191</v>
      </c>
      <c r="R25" s="615"/>
      <c r="S25" s="34">
        <v>0.33541666666666664</v>
      </c>
      <c r="T25" s="34">
        <v>0.36805555555555552</v>
      </c>
      <c r="U25" s="271">
        <f t="shared" si="22"/>
        <v>4.9999999999999822</v>
      </c>
      <c r="V25" s="276">
        <f t="shared" si="21"/>
        <v>46.999999999999993</v>
      </c>
      <c r="W25" s="16"/>
      <c r="X25" s="271"/>
      <c r="Y25" s="271"/>
      <c r="Z25" s="271"/>
      <c r="AA25" s="617"/>
      <c r="AB25" s="617"/>
      <c r="AC25" s="35"/>
      <c r="AD25" s="18"/>
      <c r="AE25" s="14">
        <f t="shared" si="8"/>
        <v>-74.893617021276214</v>
      </c>
      <c r="AF25" s="270">
        <f t="shared" si="9"/>
        <v>0.96255319148936191</v>
      </c>
      <c r="AG25" s="615"/>
    </row>
    <row r="26" spans="1:33" ht="15.75" customHeight="1">
      <c r="A26" s="643" t="s">
        <v>9</v>
      </c>
      <c r="B26" s="29" t="s">
        <v>15</v>
      </c>
      <c r="C26" s="640" t="s">
        <v>30</v>
      </c>
      <c r="D26" s="640"/>
      <c r="E26" s="29">
        <v>50.49</v>
      </c>
      <c r="F26" s="277">
        <v>1694</v>
      </c>
      <c r="G26" s="271">
        <f t="shared" si="19"/>
        <v>85530.06</v>
      </c>
      <c r="H26" s="33" t="s">
        <v>57</v>
      </c>
      <c r="I26" s="275">
        <v>15</v>
      </c>
      <c r="J26" s="31">
        <v>2000</v>
      </c>
      <c r="K26" s="12">
        <f t="shared" si="1"/>
        <v>133.33333333333334</v>
      </c>
      <c r="L26" s="275">
        <v>15</v>
      </c>
      <c r="M26" s="13">
        <f t="shared" si="20"/>
        <v>1917.7358490566048</v>
      </c>
      <c r="N26" s="12">
        <f t="shared" si="3"/>
        <v>127.84905660377366</v>
      </c>
      <c r="O26" s="14">
        <f t="shared" si="4"/>
        <v>0</v>
      </c>
      <c r="P26" s="15">
        <f t="shared" si="5"/>
        <v>-5.4842767295596815</v>
      </c>
      <c r="Q26" s="270">
        <f t="shared" si="6"/>
        <v>0.95886792452830238</v>
      </c>
      <c r="R26" s="615"/>
      <c r="S26" s="34">
        <v>0.70833333333333337</v>
      </c>
      <c r="T26" s="34">
        <v>0.74513888888888891</v>
      </c>
      <c r="U26" s="271" t="str">
        <f t="shared" si="22"/>
        <v/>
      </c>
      <c r="V26" s="276">
        <f t="shared" si="21"/>
        <v>52.999999999999972</v>
      </c>
      <c r="W26" s="16"/>
      <c r="X26" s="16"/>
      <c r="Y26" s="271"/>
      <c r="Z26" s="271"/>
      <c r="AA26" s="617"/>
      <c r="AB26" s="617"/>
      <c r="AC26" s="35"/>
      <c r="AD26" s="18"/>
      <c r="AE26" s="14">
        <f t="shared" si="8"/>
        <v>-82.26415094339518</v>
      </c>
      <c r="AF26" s="270">
        <f t="shared" si="9"/>
        <v>0.95886792452830238</v>
      </c>
      <c r="AG26" s="615"/>
    </row>
    <row r="27" spans="1:33" ht="15.75" customHeight="1">
      <c r="A27" s="643" t="s">
        <v>9</v>
      </c>
      <c r="B27" s="29" t="s">
        <v>15</v>
      </c>
      <c r="C27" s="640" t="s">
        <v>85</v>
      </c>
      <c r="D27" s="640"/>
      <c r="E27" s="29">
        <v>56.43</v>
      </c>
      <c r="F27" s="277">
        <v>1675</v>
      </c>
      <c r="G27" s="271">
        <f t="shared" si="19"/>
        <v>94520.25</v>
      </c>
      <c r="H27" s="33" t="s">
        <v>57</v>
      </c>
      <c r="I27" s="275">
        <v>13</v>
      </c>
      <c r="J27" s="31">
        <v>2000</v>
      </c>
      <c r="K27" s="12">
        <f t="shared" si="1"/>
        <v>153.84615384615384</v>
      </c>
      <c r="L27" s="275">
        <v>13</v>
      </c>
      <c r="M27" s="13">
        <f t="shared" si="20"/>
        <v>1932.692307692309</v>
      </c>
      <c r="N27" s="12">
        <f t="shared" si="3"/>
        <v>148.66863905325454</v>
      </c>
      <c r="O27" s="14">
        <f t="shared" si="4"/>
        <v>0</v>
      </c>
      <c r="P27" s="15">
        <f t="shared" si="5"/>
        <v>-5.1775147928993022</v>
      </c>
      <c r="Q27" s="270">
        <f t="shared" si="6"/>
        <v>0.96634615384615452</v>
      </c>
      <c r="R27" s="615"/>
      <c r="S27" s="34">
        <v>0.74930555555555556</v>
      </c>
      <c r="T27" s="34">
        <v>0.78541666666666665</v>
      </c>
      <c r="U27" s="271">
        <f t="shared" si="22"/>
        <v>5.9999999999999787</v>
      </c>
      <c r="V27" s="276">
        <f t="shared" si="21"/>
        <v>51.999999999999972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-67.307692307691013</v>
      </c>
      <c r="AF27" s="270">
        <f t="shared" si="9"/>
        <v>0.96634615384615452</v>
      </c>
      <c r="AG27" s="615"/>
    </row>
    <row r="28" spans="1:33" ht="15.75" customHeight="1">
      <c r="A28" s="643" t="s">
        <v>9</v>
      </c>
      <c r="B28" s="29" t="s">
        <v>15</v>
      </c>
      <c r="C28" s="666" t="s">
        <v>82</v>
      </c>
      <c r="D28" s="667"/>
      <c r="E28" s="29">
        <v>51.06</v>
      </c>
      <c r="F28" s="277">
        <v>2665</v>
      </c>
      <c r="G28" s="271">
        <f t="shared" si="19"/>
        <v>136074.9</v>
      </c>
      <c r="H28" s="33" t="s">
        <v>57</v>
      </c>
      <c r="I28" s="275">
        <v>13</v>
      </c>
      <c r="J28" s="31">
        <v>2000</v>
      </c>
      <c r="K28" s="12">
        <f t="shared" si="1"/>
        <v>153.84615384615384</v>
      </c>
      <c r="L28" s="275">
        <v>13</v>
      </c>
      <c r="M28" s="13">
        <f t="shared" si="20"/>
        <v>1903.5714285714278</v>
      </c>
      <c r="N28" s="12">
        <f t="shared" si="3"/>
        <v>146.42857142857136</v>
      </c>
      <c r="O28" s="14">
        <f t="shared" si="4"/>
        <v>0</v>
      </c>
      <c r="P28" s="15">
        <f t="shared" si="5"/>
        <v>-7.41758241758248</v>
      </c>
      <c r="Q28" s="270">
        <f t="shared" si="6"/>
        <v>0.9517857142857139</v>
      </c>
      <c r="R28" s="615"/>
      <c r="S28" s="34">
        <v>0.78888888888888886</v>
      </c>
      <c r="T28" s="34">
        <v>0.84722222222222221</v>
      </c>
      <c r="U28" s="271">
        <f t="shared" si="22"/>
        <v>4.9999999999999822</v>
      </c>
      <c r="V28" s="276">
        <f t="shared" si="21"/>
        <v>84.000000000000028</v>
      </c>
      <c r="W28" s="16"/>
      <c r="X28" s="21"/>
      <c r="Y28" s="22"/>
      <c r="Z28" s="22"/>
      <c r="AA28" s="624"/>
      <c r="AB28" s="625"/>
      <c r="AC28" s="35"/>
      <c r="AD28" s="18"/>
      <c r="AE28" s="14">
        <f t="shared" si="8"/>
        <v>-96.428571428572241</v>
      </c>
      <c r="AF28" s="270">
        <f t="shared" si="9"/>
        <v>0.9517857142857139</v>
      </c>
      <c r="AG28" s="615"/>
    </row>
    <row r="29" spans="1:33" ht="15.75" customHeight="1">
      <c r="A29" s="643" t="s">
        <v>9</v>
      </c>
      <c r="B29" s="29" t="s">
        <v>6</v>
      </c>
      <c r="C29" s="618"/>
      <c r="D29" s="618"/>
      <c r="E29" s="272"/>
      <c r="F29" s="277"/>
      <c r="G29" s="271"/>
      <c r="H29" s="277"/>
      <c r="I29" s="23">
        <v>15</v>
      </c>
      <c r="J29" s="31">
        <v>1928.5714285714287</v>
      </c>
      <c r="K29" s="12">
        <f t="shared" si="1"/>
        <v>128.57142857142858</v>
      </c>
      <c r="L29" s="23">
        <v>15</v>
      </c>
      <c r="M29" s="13">
        <f>AVERAGE(M22:M28)</f>
        <v>1847.8293241426238</v>
      </c>
      <c r="N29" s="12">
        <f t="shared" si="3"/>
        <v>123.18862160950826</v>
      </c>
      <c r="O29" s="14">
        <f t="shared" si="4"/>
        <v>0</v>
      </c>
      <c r="P29" s="15">
        <f t="shared" si="5"/>
        <v>-5.3828069619203234</v>
      </c>
      <c r="Q29" s="270">
        <f t="shared" si="6"/>
        <v>0.95813372362950855</v>
      </c>
      <c r="R29" s="615"/>
      <c r="S29" s="34"/>
      <c r="T29" s="34"/>
      <c r="U29" s="12"/>
      <c r="V29" s="276"/>
      <c r="W29" s="12"/>
      <c r="X29" s="12"/>
      <c r="Y29" s="24">
        <f>SUM(Y22:Y28)</f>
        <v>0</v>
      </c>
      <c r="Z29" s="24">
        <f>SUM(Z22:Z28)</f>
        <v>0</v>
      </c>
      <c r="AA29" s="614"/>
      <c r="AB29" s="614"/>
      <c r="AC29" s="24">
        <v>7</v>
      </c>
      <c r="AD29" s="24">
        <f>SUM(AD22:AD28)</f>
        <v>0</v>
      </c>
      <c r="AE29" s="14">
        <f t="shared" si="8"/>
        <v>-80.742104428804851</v>
      </c>
      <c r="AF29" s="270">
        <f t="shared" si="9"/>
        <v>0.95813372362950855</v>
      </c>
      <c r="AG29" s="615"/>
    </row>
    <row r="30" spans="1:33" ht="15.75" customHeight="1">
      <c r="A30" s="641" t="s">
        <v>10</v>
      </c>
      <c r="B30" s="29" t="s">
        <v>32</v>
      </c>
      <c r="C30" s="640" t="s">
        <v>33</v>
      </c>
      <c r="D30" s="640"/>
      <c r="E30" s="29">
        <v>31.29</v>
      </c>
      <c r="F30" s="277">
        <v>6735</v>
      </c>
      <c r="G30" s="271">
        <f t="shared" ref="G30:G34" si="23">E30*F30</f>
        <v>210738.15</v>
      </c>
      <c r="H30" s="33" t="s">
        <v>57</v>
      </c>
      <c r="I30" s="275">
        <v>18</v>
      </c>
      <c r="J30" s="31">
        <v>2400</v>
      </c>
      <c r="K30" s="12">
        <f t="shared" si="1"/>
        <v>133.33333333333334</v>
      </c>
      <c r="L30" s="275">
        <v>18</v>
      </c>
      <c r="M30" s="13">
        <f t="shared" ref="M30:M34" si="24">F30/V30*60</f>
        <v>2283.0508474576277</v>
      </c>
      <c r="N30" s="12">
        <f t="shared" si="3"/>
        <v>126.83615819209042</v>
      </c>
      <c r="O30" s="14">
        <f t="shared" si="4"/>
        <v>0</v>
      </c>
      <c r="P30" s="15">
        <f t="shared" si="5"/>
        <v>-6.4971751412429199</v>
      </c>
      <c r="Q30" s="270">
        <f t="shared" si="6"/>
        <v>0.9512711864406781</v>
      </c>
      <c r="R30" s="615">
        <f>Q35</f>
        <v>0.95639553500008556</v>
      </c>
      <c r="S30" s="34">
        <v>8.3333333333333329E-2</v>
      </c>
      <c r="T30" s="34">
        <v>0.20624999999999999</v>
      </c>
      <c r="U30" s="271"/>
      <c r="V30" s="276">
        <f t="shared" ref="V30:V34" si="25">(T30-S30)*24*60</f>
        <v>176.99999999999997</v>
      </c>
      <c r="W30" s="16">
        <f>T30</f>
        <v>0.20624999999999999</v>
      </c>
      <c r="X30" s="16">
        <f>S31</f>
        <v>0.22430555555555554</v>
      </c>
      <c r="Y30" s="16"/>
      <c r="Z30" s="16"/>
      <c r="AA30" s="617"/>
      <c r="AB30" s="617"/>
      <c r="AC30" s="35">
        <v>5</v>
      </c>
      <c r="AD30" s="18"/>
      <c r="AE30" s="14">
        <f t="shared" si="8"/>
        <v>-116.9491525423723</v>
      </c>
      <c r="AF30" s="270">
        <f t="shared" si="9"/>
        <v>0.95127118644067821</v>
      </c>
      <c r="AG30" s="615">
        <f>AF35</f>
        <v>0.95639553500008545</v>
      </c>
    </row>
    <row r="31" spans="1:33" ht="15.75" customHeight="1">
      <c r="A31" s="641" t="s">
        <v>1204</v>
      </c>
      <c r="B31" s="29" t="s">
        <v>32</v>
      </c>
      <c r="C31" s="640" t="s">
        <v>34</v>
      </c>
      <c r="D31" s="640"/>
      <c r="E31" s="29">
        <v>26.37</v>
      </c>
      <c r="F31" s="277">
        <v>4947</v>
      </c>
      <c r="G31" s="271">
        <f t="shared" si="23"/>
        <v>130452.39</v>
      </c>
      <c r="H31" s="33" t="s">
        <v>57</v>
      </c>
      <c r="I31" s="275">
        <v>18</v>
      </c>
      <c r="J31" s="31">
        <v>2400</v>
      </c>
      <c r="K31" s="12">
        <f t="shared" si="1"/>
        <v>133.33333333333334</v>
      </c>
      <c r="L31" s="275">
        <v>18</v>
      </c>
      <c r="M31" s="13">
        <f t="shared" si="24"/>
        <v>2283.2307692307686</v>
      </c>
      <c r="N31" s="12">
        <f t="shared" si="3"/>
        <v>126.84615384615381</v>
      </c>
      <c r="O31" s="14">
        <f t="shared" si="4"/>
        <v>0</v>
      </c>
      <c r="P31" s="15">
        <f t="shared" si="5"/>
        <v>-6.4871794871795316</v>
      </c>
      <c r="Q31" s="270">
        <f t="shared" si="6"/>
        <v>0.95134615384615351</v>
      </c>
      <c r="R31" s="615"/>
      <c r="S31" s="34">
        <v>0.22430555555555554</v>
      </c>
      <c r="T31" s="34">
        <v>0.31458333333333333</v>
      </c>
      <c r="U31" s="271">
        <f t="shared" ref="U31:U34" si="26">(S31-T30)*24*60</f>
        <v>25.999999999999986</v>
      </c>
      <c r="V31" s="276">
        <f t="shared" si="25"/>
        <v>130.00000000000003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-116.7692307692314</v>
      </c>
      <c r="AF31" s="270">
        <f t="shared" si="9"/>
        <v>0.95134615384615362</v>
      </c>
      <c r="AG31" s="615"/>
    </row>
    <row r="32" spans="1:33" ht="15.75" customHeight="1">
      <c r="A32" s="641" t="s">
        <v>10</v>
      </c>
      <c r="B32" s="29" t="s">
        <v>32</v>
      </c>
      <c r="C32" s="640" t="s">
        <v>76</v>
      </c>
      <c r="D32" s="640"/>
      <c r="E32" s="29">
        <v>26.18</v>
      </c>
      <c r="F32" s="277">
        <v>6151</v>
      </c>
      <c r="G32" s="271">
        <f t="shared" si="23"/>
        <v>161033.18</v>
      </c>
      <c r="H32" s="33" t="s">
        <v>57</v>
      </c>
      <c r="I32" s="275">
        <v>18</v>
      </c>
      <c r="J32" s="31">
        <v>2400</v>
      </c>
      <c r="K32" s="12">
        <f t="shared" si="1"/>
        <v>133.33333333333334</v>
      </c>
      <c r="L32" s="275">
        <v>18</v>
      </c>
      <c r="M32" s="13">
        <f t="shared" si="24"/>
        <v>2292.2981366459626</v>
      </c>
      <c r="N32" s="12">
        <f t="shared" si="3"/>
        <v>127.34989648033125</v>
      </c>
      <c r="O32" s="14">
        <f t="shared" si="4"/>
        <v>0</v>
      </c>
      <c r="P32" s="15">
        <f t="shared" si="5"/>
        <v>-5.9834368530020896</v>
      </c>
      <c r="Q32" s="270">
        <f t="shared" si="6"/>
        <v>0.95512422360248428</v>
      </c>
      <c r="R32" s="615"/>
      <c r="S32" s="34">
        <v>0.32013888888888886</v>
      </c>
      <c r="T32" s="34">
        <v>0.43194444444444441</v>
      </c>
      <c r="U32" s="271">
        <f t="shared" si="26"/>
        <v>7.9999999999999716</v>
      </c>
      <c r="V32" s="276">
        <f t="shared" si="25"/>
        <v>161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-107.70186335403741</v>
      </c>
      <c r="AF32" s="270">
        <f t="shared" si="9"/>
        <v>0.95512422360248439</v>
      </c>
      <c r="AG32" s="615"/>
    </row>
    <row r="33" spans="1:33" ht="15.75" customHeight="1">
      <c r="A33" s="641" t="s">
        <v>10</v>
      </c>
      <c r="B33" s="29" t="s">
        <v>32</v>
      </c>
      <c r="C33" s="640" t="s">
        <v>35</v>
      </c>
      <c r="D33" s="640"/>
      <c r="E33" s="29">
        <v>25.99</v>
      </c>
      <c r="F33" s="277">
        <v>3355</v>
      </c>
      <c r="G33" s="271">
        <f t="shared" si="23"/>
        <v>87196.45</v>
      </c>
      <c r="H33" s="33" t="s">
        <v>57</v>
      </c>
      <c r="I33" s="275">
        <v>14</v>
      </c>
      <c r="J33" s="31">
        <v>2400</v>
      </c>
      <c r="K33" s="12">
        <f t="shared" si="1"/>
        <v>171.42857142857142</v>
      </c>
      <c r="L33" s="275">
        <v>14</v>
      </c>
      <c r="M33" s="13">
        <f t="shared" si="24"/>
        <v>2287.5</v>
      </c>
      <c r="N33" s="12">
        <f t="shared" si="3"/>
        <v>163.39285714285714</v>
      </c>
      <c r="O33" s="14">
        <f t="shared" si="4"/>
        <v>0</v>
      </c>
      <c r="P33" s="15">
        <f t="shared" si="5"/>
        <v>-8.0357142857142776</v>
      </c>
      <c r="Q33" s="270">
        <f t="shared" si="6"/>
        <v>0.953125</v>
      </c>
      <c r="R33" s="615"/>
      <c r="S33" s="34">
        <v>0.43611111111111106</v>
      </c>
      <c r="T33" s="34">
        <v>0.49722222222222218</v>
      </c>
      <c r="U33" s="271">
        <f t="shared" si="26"/>
        <v>5.9999999999999787</v>
      </c>
      <c r="V33" s="276">
        <f t="shared" si="25"/>
        <v>88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-112.5</v>
      </c>
      <c r="AF33" s="270">
        <f t="shared" si="9"/>
        <v>0.953125</v>
      </c>
      <c r="AG33" s="615"/>
    </row>
    <row r="34" spans="1:33" ht="15.75" customHeight="1">
      <c r="A34" s="641" t="s">
        <v>10</v>
      </c>
      <c r="B34" s="29" t="s">
        <v>32</v>
      </c>
      <c r="C34" s="640" t="s">
        <v>79</v>
      </c>
      <c r="D34" s="640"/>
      <c r="E34" s="29">
        <v>25.99</v>
      </c>
      <c r="F34" s="277">
        <v>1748</v>
      </c>
      <c r="G34" s="271">
        <f t="shared" si="23"/>
        <v>45430.52</v>
      </c>
      <c r="H34" s="33" t="s">
        <v>57</v>
      </c>
      <c r="I34" s="275">
        <v>18</v>
      </c>
      <c r="J34" s="31">
        <v>2400</v>
      </c>
      <c r="K34" s="12">
        <f t="shared" si="1"/>
        <v>133.33333333333334</v>
      </c>
      <c r="L34" s="275">
        <v>18</v>
      </c>
      <c r="M34" s="13">
        <f t="shared" si="24"/>
        <v>2330.6666666666665</v>
      </c>
      <c r="N34" s="12">
        <f t="shared" si="3"/>
        <v>129.48148148148147</v>
      </c>
      <c r="O34" s="14">
        <f t="shared" si="4"/>
        <v>0</v>
      </c>
      <c r="P34" s="15">
        <f t="shared" si="5"/>
        <v>-3.8518518518518761</v>
      </c>
      <c r="Q34" s="270">
        <f t="shared" si="6"/>
        <v>0.97111111111111093</v>
      </c>
      <c r="R34" s="615"/>
      <c r="S34" s="34">
        <v>0.50277777777777777</v>
      </c>
      <c r="T34" s="34">
        <v>0.53402777777777777</v>
      </c>
      <c r="U34" s="271">
        <f t="shared" si="26"/>
        <v>8.0000000000000515</v>
      </c>
      <c r="V34" s="276">
        <f t="shared" si="25"/>
        <v>45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-69.333333333333485</v>
      </c>
      <c r="AF34" s="270">
        <f t="shared" si="9"/>
        <v>0.97111111111111104</v>
      </c>
      <c r="AG34" s="615"/>
    </row>
    <row r="35" spans="1:33" ht="15.75" customHeight="1">
      <c r="A35" s="641" t="s">
        <v>1204</v>
      </c>
      <c r="B35" s="29" t="s">
        <v>6</v>
      </c>
      <c r="C35" s="618"/>
      <c r="D35" s="618"/>
      <c r="E35" s="272"/>
      <c r="F35" s="277"/>
      <c r="G35" s="271"/>
      <c r="H35" s="277"/>
      <c r="I35" s="23">
        <v>17.2</v>
      </c>
      <c r="J35" s="31">
        <v>2400</v>
      </c>
      <c r="K35" s="12">
        <f t="shared" si="1"/>
        <v>139.53488372093022</v>
      </c>
      <c r="L35" s="23">
        <v>17.2</v>
      </c>
      <c r="M35" s="13">
        <f>AVERAGE(M30:M34)</f>
        <v>2295.349284000205</v>
      </c>
      <c r="N35" s="12">
        <f t="shared" si="3"/>
        <v>133.45053976745379</v>
      </c>
      <c r="O35" s="14">
        <f t="shared" si="4"/>
        <v>0</v>
      </c>
      <c r="P35" s="15">
        <f t="shared" si="5"/>
        <v>-6.0843439534764343</v>
      </c>
      <c r="Q35" s="270">
        <f t="shared" si="6"/>
        <v>0.95639553500008556</v>
      </c>
      <c r="R35" s="615"/>
      <c r="S35" s="34"/>
      <c r="T35" s="34"/>
      <c r="U35" s="271"/>
      <c r="V35" s="276"/>
      <c r="W35" s="271"/>
      <c r="X35" s="271"/>
      <c r="Y35" s="24">
        <f>SUM(Y30:Y34)</f>
        <v>0</v>
      </c>
      <c r="Z35" s="24">
        <f>SUM(Z30:Z34)</f>
        <v>0</v>
      </c>
      <c r="AA35" s="614"/>
      <c r="AB35" s="614"/>
      <c r="AC35" s="24">
        <v>5</v>
      </c>
      <c r="AD35" s="24">
        <f>SUM(AD30:AD34)</f>
        <v>0</v>
      </c>
      <c r="AE35" s="14">
        <f t="shared" si="8"/>
        <v>-104.65071599979501</v>
      </c>
      <c r="AF35" s="270">
        <f t="shared" si="9"/>
        <v>0.95639553500008545</v>
      </c>
      <c r="AG35" s="615"/>
    </row>
    <row r="36" spans="1:33" ht="15.75" customHeight="1">
      <c r="A36" s="638" t="s">
        <v>11</v>
      </c>
      <c r="B36" s="29" t="s">
        <v>32</v>
      </c>
      <c r="C36" s="616" t="s">
        <v>77</v>
      </c>
      <c r="D36" s="616"/>
      <c r="E36" s="29">
        <v>26.18</v>
      </c>
      <c r="F36" s="277">
        <v>4844</v>
      </c>
      <c r="G36" s="271">
        <f t="shared" ref="G36:G41" si="27">E36*F36</f>
        <v>126815.92</v>
      </c>
      <c r="H36" s="33" t="s">
        <v>57</v>
      </c>
      <c r="I36" s="275">
        <v>20</v>
      </c>
      <c r="J36" s="31">
        <v>2400</v>
      </c>
      <c r="K36" s="12">
        <f t="shared" si="1"/>
        <v>120</v>
      </c>
      <c r="L36" s="275">
        <v>20</v>
      </c>
      <c r="M36" s="13">
        <f t="shared" ref="M36:M41" si="28">F36/V36*60</f>
        <v>2288.5039370078744</v>
      </c>
      <c r="N36" s="12">
        <f t="shared" si="3"/>
        <v>114.42519685039372</v>
      </c>
      <c r="O36" s="14">
        <f t="shared" si="4"/>
        <v>0</v>
      </c>
      <c r="P36" s="15">
        <f t="shared" si="5"/>
        <v>-5.5748031496062822</v>
      </c>
      <c r="Q36" s="270">
        <f t="shared" si="6"/>
        <v>0.95354330708661428</v>
      </c>
      <c r="R36" s="615">
        <f>Q42</f>
        <v>0.95430230582416398</v>
      </c>
      <c r="S36" s="34">
        <v>8.3333333333333329E-2</v>
      </c>
      <c r="T36" s="34">
        <v>0.17152777777777778</v>
      </c>
      <c r="U36" s="271"/>
      <c r="V36" s="276">
        <f t="shared" ref="V36:V41" si="29">(T36-S36)*24*60</f>
        <v>127</v>
      </c>
      <c r="W36" s="21">
        <f>T36</f>
        <v>0.17152777777777778</v>
      </c>
      <c r="X36" s="21">
        <f>S37</f>
        <v>0.19097222222222221</v>
      </c>
      <c r="Y36" s="21"/>
      <c r="Z36" s="21"/>
      <c r="AA36" s="617"/>
      <c r="AB36" s="617"/>
      <c r="AC36" s="35">
        <v>6</v>
      </c>
      <c r="AD36" s="18"/>
      <c r="AE36" s="14">
        <f t="shared" si="8"/>
        <v>-111.49606299212564</v>
      </c>
      <c r="AF36" s="270">
        <f t="shared" si="9"/>
        <v>0.95354330708661428</v>
      </c>
      <c r="AG36" s="615">
        <f>AF42</f>
        <v>0.95430230582416409</v>
      </c>
    </row>
    <row r="37" spans="1:33" ht="15.75" customHeight="1">
      <c r="A37" s="638" t="s">
        <v>11</v>
      </c>
      <c r="B37" s="29" t="s">
        <v>32</v>
      </c>
      <c r="C37" s="616" t="s">
        <v>37</v>
      </c>
      <c r="D37" s="616"/>
      <c r="E37" s="29">
        <v>24.43</v>
      </c>
      <c r="F37" s="277">
        <v>3500</v>
      </c>
      <c r="G37" s="271">
        <f t="shared" si="27"/>
        <v>85505</v>
      </c>
      <c r="H37" s="33">
        <v>2</v>
      </c>
      <c r="I37" s="275">
        <v>14</v>
      </c>
      <c r="J37" s="31">
        <v>2400</v>
      </c>
      <c r="K37" s="12">
        <f t="shared" si="1"/>
        <v>171.42857142857142</v>
      </c>
      <c r="L37" s="275">
        <v>14</v>
      </c>
      <c r="M37" s="13">
        <f t="shared" si="28"/>
        <v>2282.608695652174</v>
      </c>
      <c r="N37" s="12">
        <f t="shared" si="3"/>
        <v>163.04347826086956</v>
      </c>
      <c r="O37" s="14">
        <f t="shared" si="4"/>
        <v>0</v>
      </c>
      <c r="P37" s="15">
        <f t="shared" si="5"/>
        <v>-8.3850931677018536</v>
      </c>
      <c r="Q37" s="270">
        <f t="shared" si="6"/>
        <v>0.95108695652173914</v>
      </c>
      <c r="R37" s="615"/>
      <c r="S37" s="34">
        <v>0.19097222222222221</v>
      </c>
      <c r="T37" s="34">
        <v>0.25486111111111109</v>
      </c>
      <c r="U37" s="271">
        <f t="shared" ref="U37:U41" si="30">(S37-T36)*24*60</f>
        <v>27.999999999999979</v>
      </c>
      <c r="V37" s="276">
        <f t="shared" si="29"/>
        <v>92</v>
      </c>
      <c r="W37" s="271"/>
      <c r="X37" s="271"/>
      <c r="Y37" s="271"/>
      <c r="Z37" s="271"/>
      <c r="AA37" s="617"/>
      <c r="AB37" s="617"/>
      <c r="AC37" s="35"/>
      <c r="AD37" s="18"/>
      <c r="AE37" s="14">
        <f t="shared" si="8"/>
        <v>-117.39130434782601</v>
      </c>
      <c r="AF37" s="270">
        <f t="shared" si="9"/>
        <v>0.95108695652173914</v>
      </c>
      <c r="AG37" s="615"/>
    </row>
    <row r="38" spans="1:33">
      <c r="A38" s="639" t="s">
        <v>11</v>
      </c>
      <c r="B38" s="29" t="s">
        <v>32</v>
      </c>
      <c r="C38" s="616" t="s">
        <v>38</v>
      </c>
      <c r="D38" s="616"/>
      <c r="E38" s="29">
        <v>25.98</v>
      </c>
      <c r="F38" s="277">
        <v>2460</v>
      </c>
      <c r="G38" s="271">
        <f t="shared" si="27"/>
        <v>63910.8</v>
      </c>
      <c r="H38" s="33" t="s">
        <v>57</v>
      </c>
      <c r="I38" s="275">
        <v>21</v>
      </c>
      <c r="J38" s="31">
        <v>2400</v>
      </c>
      <c r="K38" s="12">
        <f t="shared" si="1"/>
        <v>114.28571428571429</v>
      </c>
      <c r="L38" s="275">
        <v>21</v>
      </c>
      <c r="M38" s="13">
        <f t="shared" si="28"/>
        <v>2306.2499999999995</v>
      </c>
      <c r="N38" s="12">
        <f t="shared" si="3"/>
        <v>109.82142857142856</v>
      </c>
      <c r="O38" s="14">
        <f t="shared" si="4"/>
        <v>0</v>
      </c>
      <c r="P38" s="15">
        <f t="shared" si="5"/>
        <v>-4.4642857142857366</v>
      </c>
      <c r="Q38" s="270">
        <f t="shared" si="6"/>
        <v>0.96093749999999978</v>
      </c>
      <c r="R38" s="615"/>
      <c r="S38" s="34">
        <v>0.2583333333333333</v>
      </c>
      <c r="T38" s="34">
        <v>0.30277777777777776</v>
      </c>
      <c r="U38" s="271">
        <f t="shared" si="30"/>
        <v>4.9999999999999822</v>
      </c>
      <c r="V38" s="276">
        <f t="shared" si="29"/>
        <v>64.000000000000014</v>
      </c>
      <c r="W38" s="271"/>
      <c r="X38" s="271"/>
      <c r="Y38" s="271"/>
      <c r="Z38" s="271"/>
      <c r="AA38" s="617"/>
      <c r="AB38" s="617"/>
      <c r="AC38" s="35"/>
      <c r="AD38" s="18"/>
      <c r="AE38" s="14">
        <f t="shared" si="8"/>
        <v>-93.750000000000455</v>
      </c>
      <c r="AF38" s="270">
        <f t="shared" si="9"/>
        <v>0.96093749999999978</v>
      </c>
      <c r="AG38" s="615"/>
    </row>
    <row r="39" spans="1:33">
      <c r="A39" s="639" t="s">
        <v>11</v>
      </c>
      <c r="B39" s="29" t="s">
        <v>32</v>
      </c>
      <c r="C39" s="616" t="s">
        <v>39</v>
      </c>
      <c r="D39" s="616"/>
      <c r="E39" s="29">
        <v>34.1</v>
      </c>
      <c r="F39" s="277">
        <v>5175</v>
      </c>
      <c r="G39" s="271">
        <f t="shared" si="27"/>
        <v>176467.5</v>
      </c>
      <c r="H39" s="33" t="s">
        <v>57</v>
      </c>
      <c r="I39" s="275">
        <v>17</v>
      </c>
      <c r="J39" s="31">
        <v>1600</v>
      </c>
      <c r="K39" s="12">
        <f t="shared" si="1"/>
        <v>94.117647058823536</v>
      </c>
      <c r="L39" s="275">
        <v>17</v>
      </c>
      <c r="M39" s="13">
        <f t="shared" si="28"/>
        <v>1529.5566502463055</v>
      </c>
      <c r="N39" s="12">
        <f t="shared" si="3"/>
        <v>89.973920602723851</v>
      </c>
      <c r="O39" s="14">
        <f t="shared" si="4"/>
        <v>0</v>
      </c>
      <c r="P39" s="15">
        <f t="shared" si="5"/>
        <v>-4.1437264560996852</v>
      </c>
      <c r="Q39" s="270">
        <f t="shared" si="6"/>
        <v>0.95597290640394084</v>
      </c>
      <c r="R39" s="615"/>
      <c r="S39" s="34">
        <v>0.30624999999999997</v>
      </c>
      <c r="T39" s="34">
        <v>0.44722222222222219</v>
      </c>
      <c r="U39" s="271">
        <f t="shared" si="30"/>
        <v>4.9999999999999822</v>
      </c>
      <c r="V39" s="276">
        <f t="shared" si="29"/>
        <v>203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-70.44334975369452</v>
      </c>
      <c r="AF39" s="270">
        <f t="shared" si="9"/>
        <v>0.95597290640394095</v>
      </c>
      <c r="AG39" s="615"/>
    </row>
    <row r="40" spans="1:33">
      <c r="A40" s="639" t="s">
        <v>11</v>
      </c>
      <c r="B40" s="29" t="s">
        <v>32</v>
      </c>
      <c r="C40" s="616" t="s">
        <v>84</v>
      </c>
      <c r="D40" s="616"/>
      <c r="E40" s="29">
        <v>20.21</v>
      </c>
      <c r="F40" s="277">
        <v>3308</v>
      </c>
      <c r="G40" s="271">
        <f t="shared" si="27"/>
        <v>66854.680000000008</v>
      </c>
      <c r="H40" s="33" t="s">
        <v>57</v>
      </c>
      <c r="I40" s="275">
        <v>18</v>
      </c>
      <c r="J40" s="31">
        <v>2400</v>
      </c>
      <c r="K40" s="12">
        <f t="shared" si="1"/>
        <v>133.33333333333334</v>
      </c>
      <c r="L40" s="275">
        <v>18</v>
      </c>
      <c r="M40" s="13">
        <f t="shared" si="28"/>
        <v>2281.3793103448274</v>
      </c>
      <c r="N40" s="12">
        <f t="shared" si="3"/>
        <v>126.74329501915707</v>
      </c>
      <c r="O40" s="14">
        <f t="shared" si="4"/>
        <v>0</v>
      </c>
      <c r="P40" s="15">
        <f t="shared" si="5"/>
        <v>-6.5900383141762688</v>
      </c>
      <c r="Q40" s="270">
        <f t="shared" si="6"/>
        <v>0.95057471264367799</v>
      </c>
      <c r="R40" s="615"/>
      <c r="S40" s="34">
        <v>0.4506944444444444</v>
      </c>
      <c r="T40" s="34">
        <v>0.51111111111111107</v>
      </c>
      <c r="U40" s="271">
        <f t="shared" si="30"/>
        <v>4.9999999999999822</v>
      </c>
      <c r="V40" s="276">
        <f t="shared" si="29"/>
        <v>87.000000000000014</v>
      </c>
      <c r="W40" s="16">
        <f>T40</f>
        <v>0.51111111111111107</v>
      </c>
      <c r="X40" s="16">
        <f>S41</f>
        <v>0.54999999999999993</v>
      </c>
      <c r="Y40" s="16"/>
      <c r="Z40" s="16"/>
      <c r="AA40" s="617"/>
      <c r="AB40" s="617"/>
      <c r="AC40" s="35"/>
      <c r="AD40" s="18"/>
      <c r="AE40" s="14">
        <f t="shared" si="8"/>
        <v>-118.62068965517255</v>
      </c>
      <c r="AF40" s="270">
        <f t="shared" si="9"/>
        <v>0.9505747126436781</v>
      </c>
      <c r="AG40" s="615"/>
    </row>
    <row r="41" spans="1:33">
      <c r="A41" s="639" t="s">
        <v>1205</v>
      </c>
      <c r="B41" s="29" t="s">
        <v>32</v>
      </c>
      <c r="C41" s="616" t="s">
        <v>37</v>
      </c>
      <c r="D41" s="616"/>
      <c r="E41" s="29">
        <v>24.43</v>
      </c>
      <c r="F41" s="277">
        <v>1794</v>
      </c>
      <c r="G41" s="271">
        <f t="shared" si="27"/>
        <v>43827.42</v>
      </c>
      <c r="H41" s="33" t="s">
        <v>57</v>
      </c>
      <c r="I41" s="275">
        <v>14</v>
      </c>
      <c r="J41" s="31">
        <v>2400</v>
      </c>
      <c r="K41" s="12">
        <f t="shared" si="1"/>
        <v>171.42857142857142</v>
      </c>
      <c r="L41" s="275">
        <v>14</v>
      </c>
      <c r="M41" s="13">
        <f t="shared" si="28"/>
        <v>2290.2127659574471</v>
      </c>
      <c r="N41" s="12">
        <f t="shared" si="3"/>
        <v>163.58662613981764</v>
      </c>
      <c r="O41" s="14">
        <f t="shared" si="4"/>
        <v>0</v>
      </c>
      <c r="P41" s="15">
        <f t="shared" si="5"/>
        <v>-7.8419452887537773</v>
      </c>
      <c r="Q41" s="270">
        <f t="shared" si="6"/>
        <v>0.95425531914893624</v>
      </c>
      <c r="R41" s="615"/>
      <c r="S41" s="34">
        <v>0.54999999999999993</v>
      </c>
      <c r="T41" s="34">
        <v>0.58263888888888882</v>
      </c>
      <c r="U41" s="271">
        <f t="shared" si="30"/>
        <v>55.999999999999957</v>
      </c>
      <c r="V41" s="276">
        <f t="shared" si="29"/>
        <v>46.999999999999993</v>
      </c>
      <c r="W41" s="16"/>
      <c r="X41" s="16"/>
      <c r="Y41" s="16"/>
      <c r="Z41" s="16"/>
      <c r="AA41" s="617"/>
      <c r="AB41" s="617"/>
      <c r="AC41" s="35"/>
      <c r="AD41" s="18"/>
      <c r="AE41" s="14">
        <f t="shared" si="8"/>
        <v>-109.78723404255288</v>
      </c>
      <c r="AF41" s="270">
        <f t="shared" si="9"/>
        <v>0.95425531914893635</v>
      </c>
      <c r="AG41" s="615"/>
    </row>
    <row r="42" spans="1:33">
      <c r="A42" s="639" t="s">
        <v>11</v>
      </c>
      <c r="B42" s="30" t="s">
        <v>6</v>
      </c>
      <c r="C42" s="618"/>
      <c r="D42" s="618"/>
      <c r="E42" s="272"/>
      <c r="F42" s="30"/>
      <c r="G42" s="12"/>
      <c r="H42" s="277"/>
      <c r="I42" s="23">
        <v>17.333333333333332</v>
      </c>
      <c r="J42" s="31">
        <v>2266.6666666666665</v>
      </c>
      <c r="K42" s="12">
        <f t="shared" si="1"/>
        <v>130.76923076923077</v>
      </c>
      <c r="L42" s="23">
        <v>17.333333333333332</v>
      </c>
      <c r="M42" s="13">
        <f>AVERAGE(M36:M41)</f>
        <v>2163.0852265347717</v>
      </c>
      <c r="N42" s="12">
        <f t="shared" si="3"/>
        <v>124.79337845392914</v>
      </c>
      <c r="O42" s="14">
        <f t="shared" si="4"/>
        <v>0</v>
      </c>
      <c r="P42" s="15">
        <f t="shared" si="5"/>
        <v>-5.975852315301637</v>
      </c>
      <c r="Q42" s="270">
        <f t="shared" si="6"/>
        <v>0.95430230582416398</v>
      </c>
      <c r="R42" s="615"/>
      <c r="S42" s="34"/>
      <c r="T42" s="34"/>
      <c r="U42" s="12"/>
      <c r="V42" s="276"/>
      <c r="W42" s="12"/>
      <c r="X42" s="12"/>
      <c r="Y42" s="24">
        <f>SUM(Y36:Y41)</f>
        <v>0</v>
      </c>
      <c r="Z42" s="24">
        <f>SUM(Z36:Z41)</f>
        <v>0</v>
      </c>
      <c r="AA42" s="614"/>
      <c r="AB42" s="614"/>
      <c r="AC42" s="24">
        <v>6</v>
      </c>
      <c r="AD42" s="24">
        <f>SUM(AD36:AD41)</f>
        <v>0</v>
      </c>
      <c r="AE42" s="14">
        <f t="shared" si="8"/>
        <v>-103.58144013189485</v>
      </c>
      <c r="AF42" s="270">
        <f t="shared" si="9"/>
        <v>0.95430230582416409</v>
      </c>
      <c r="AG42" s="615"/>
    </row>
    <row r="43" spans="1:33" ht="15.75" customHeight="1">
      <c r="A43" s="632" t="s">
        <v>12</v>
      </c>
      <c r="B43" s="29" t="s">
        <v>40</v>
      </c>
      <c r="C43" s="622" t="s">
        <v>41</v>
      </c>
      <c r="D43" s="623"/>
      <c r="E43" s="29">
        <v>37.880000000000003</v>
      </c>
      <c r="F43" s="277">
        <v>664</v>
      </c>
      <c r="G43" s="271">
        <f t="shared" ref="G43:G46" si="31">E43*F43</f>
        <v>25152.320000000003</v>
      </c>
      <c r="H43" s="33" t="s">
        <v>57</v>
      </c>
      <c r="I43" s="275">
        <v>13</v>
      </c>
      <c r="J43" s="31">
        <v>2000</v>
      </c>
      <c r="K43" s="12">
        <f t="shared" si="1"/>
        <v>153.84615384615384</v>
      </c>
      <c r="L43" s="275">
        <v>13</v>
      </c>
      <c r="M43" s="13">
        <f t="shared" ref="M43:M46" si="32">F43/V43*60</f>
        <v>1992.0000000000009</v>
      </c>
      <c r="N43" s="13">
        <f t="shared" si="3"/>
        <v>153.23076923076931</v>
      </c>
      <c r="O43" s="14">
        <f t="shared" si="4"/>
        <v>0</v>
      </c>
      <c r="P43" s="15">
        <f t="shared" si="5"/>
        <v>-0.61538461538452793</v>
      </c>
      <c r="Q43" s="270">
        <f t="shared" si="6"/>
        <v>0.99600000000000055</v>
      </c>
      <c r="R43" s="635">
        <f>Q47</f>
        <v>0.96073080721917958</v>
      </c>
      <c r="S43" s="34">
        <v>8.3333333333333329E-2</v>
      </c>
      <c r="T43" s="34">
        <v>9.722222222222221E-2</v>
      </c>
      <c r="U43" s="21"/>
      <c r="V43" s="276">
        <f t="shared" ref="V43:V46" si="33">(T43-S43)*24*60</f>
        <v>19.999999999999989</v>
      </c>
      <c r="W43" s="16">
        <f>T43</f>
        <v>9.722222222222221E-2</v>
      </c>
      <c r="X43" s="16">
        <f>S44</f>
        <v>0.11874999999999998</v>
      </c>
      <c r="Y43" s="19"/>
      <c r="Z43" s="19"/>
      <c r="AA43" s="624"/>
      <c r="AB43" s="625"/>
      <c r="AC43" s="35">
        <v>4</v>
      </c>
      <c r="AD43" s="18"/>
      <c r="AE43" s="14">
        <f t="shared" si="8"/>
        <v>-7.9999999999990905</v>
      </c>
      <c r="AF43" s="270">
        <f t="shared" si="9"/>
        <v>0.99600000000000044</v>
      </c>
      <c r="AG43" s="635">
        <f>AF47</f>
        <v>0.96073080721917958</v>
      </c>
    </row>
    <row r="44" spans="1:33" ht="15.75" customHeight="1">
      <c r="A44" s="633" t="s">
        <v>1206</v>
      </c>
      <c r="B44" s="29" t="s">
        <v>40</v>
      </c>
      <c r="C44" s="622" t="s">
        <v>42</v>
      </c>
      <c r="D44" s="623"/>
      <c r="E44" s="29">
        <v>35.119999999999997</v>
      </c>
      <c r="F44" s="277">
        <v>4098</v>
      </c>
      <c r="G44" s="271">
        <f t="shared" si="31"/>
        <v>143921.75999999998</v>
      </c>
      <c r="H44" s="33" t="s">
        <v>57</v>
      </c>
      <c r="I44" s="275">
        <v>10</v>
      </c>
      <c r="J44" s="31">
        <v>3000</v>
      </c>
      <c r="K44" s="12">
        <f t="shared" si="1"/>
        <v>300</v>
      </c>
      <c r="L44" s="275">
        <v>10</v>
      </c>
      <c r="M44" s="13">
        <f t="shared" si="32"/>
        <v>2859.0697674418611</v>
      </c>
      <c r="N44" s="13">
        <f t="shared" si="3"/>
        <v>285.90697674418612</v>
      </c>
      <c r="O44" s="14">
        <f t="shared" si="4"/>
        <v>0</v>
      </c>
      <c r="P44" s="15">
        <f t="shared" si="5"/>
        <v>-14.093023255813875</v>
      </c>
      <c r="Q44" s="270">
        <f t="shared" si="6"/>
        <v>0.95302325581395375</v>
      </c>
      <c r="R44" s="636"/>
      <c r="S44" s="34">
        <v>0.11874999999999998</v>
      </c>
      <c r="T44" s="34">
        <v>0.1784722222222222</v>
      </c>
      <c r="U44" s="271">
        <f t="shared" ref="U44:U46" si="34">(S44-T43)*24*60</f>
        <v>30.999999999999989</v>
      </c>
      <c r="V44" s="276">
        <f t="shared" si="33"/>
        <v>85.999999999999986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-140.93023255813887</v>
      </c>
      <c r="AF44" s="270">
        <f t="shared" si="9"/>
        <v>0.95302325581395375</v>
      </c>
      <c r="AG44" s="636"/>
    </row>
    <row r="45" spans="1:33" ht="15.75" customHeight="1">
      <c r="A45" s="633" t="s">
        <v>1206</v>
      </c>
      <c r="B45" s="29" t="s">
        <v>40</v>
      </c>
      <c r="C45" s="622" t="s">
        <v>43</v>
      </c>
      <c r="D45" s="623"/>
      <c r="E45" s="29">
        <v>21.13</v>
      </c>
      <c r="F45" s="277">
        <v>3999</v>
      </c>
      <c r="G45" s="271">
        <f t="shared" si="31"/>
        <v>84498.87</v>
      </c>
      <c r="H45" s="33" t="s">
        <v>57</v>
      </c>
      <c r="I45" s="275">
        <v>10</v>
      </c>
      <c r="J45" s="31">
        <v>3000</v>
      </c>
      <c r="K45" s="12">
        <f t="shared" si="1"/>
        <v>300</v>
      </c>
      <c r="L45" s="275">
        <v>10</v>
      </c>
      <c r="M45" s="13">
        <f t="shared" si="32"/>
        <v>2856.428571428572</v>
      </c>
      <c r="N45" s="13">
        <f t="shared" si="3"/>
        <v>285.64285714285722</v>
      </c>
      <c r="O45" s="14">
        <f t="shared" si="4"/>
        <v>0</v>
      </c>
      <c r="P45" s="15">
        <f t="shared" si="5"/>
        <v>-14.357142857142776</v>
      </c>
      <c r="Q45" s="270">
        <f t="shared" si="6"/>
        <v>0.9521428571428574</v>
      </c>
      <c r="R45" s="636"/>
      <c r="S45" s="34">
        <v>0.18402777777777776</v>
      </c>
      <c r="T45" s="34">
        <v>0.24236111111111108</v>
      </c>
      <c r="U45" s="271">
        <f t="shared" si="34"/>
        <v>8.0000000000000107</v>
      </c>
      <c r="V45" s="276">
        <f t="shared" si="33"/>
        <v>83.999999999999986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-143.57142857142799</v>
      </c>
      <c r="AF45" s="270">
        <f t="shared" si="9"/>
        <v>0.95214285714285729</v>
      </c>
      <c r="AG45" s="636"/>
    </row>
    <row r="46" spans="1:33" ht="15.75" customHeight="1">
      <c r="A46" s="633" t="s">
        <v>12</v>
      </c>
      <c r="B46" s="29" t="s">
        <v>40</v>
      </c>
      <c r="C46" s="622" t="s">
        <v>44</v>
      </c>
      <c r="D46" s="623"/>
      <c r="E46" s="29">
        <v>27.17</v>
      </c>
      <c r="F46" s="277">
        <v>5292</v>
      </c>
      <c r="G46" s="271">
        <f t="shared" si="31"/>
        <v>143783.64000000001</v>
      </c>
      <c r="H46" s="33" t="s">
        <v>57</v>
      </c>
      <c r="I46" s="275">
        <v>10</v>
      </c>
      <c r="J46" s="31">
        <v>3000</v>
      </c>
      <c r="K46" s="12">
        <f t="shared" si="1"/>
        <v>300</v>
      </c>
      <c r="L46" s="275">
        <v>10</v>
      </c>
      <c r="M46" s="13">
        <f t="shared" si="32"/>
        <v>2860.5405405405409</v>
      </c>
      <c r="N46" s="13">
        <f t="shared" si="3"/>
        <v>286.05405405405406</v>
      </c>
      <c r="O46" s="14">
        <f t="shared" si="4"/>
        <v>0</v>
      </c>
      <c r="P46" s="15">
        <f t="shared" si="5"/>
        <v>-13.945945945945937</v>
      </c>
      <c r="Q46" s="270">
        <f t="shared" si="6"/>
        <v>0.95351351351351354</v>
      </c>
      <c r="R46" s="636"/>
      <c r="S46" s="34">
        <v>0.24583333333333329</v>
      </c>
      <c r="T46" s="34">
        <v>0.32291666666666663</v>
      </c>
      <c r="U46" s="271">
        <f t="shared" si="34"/>
        <v>4.9999999999999822</v>
      </c>
      <c r="V46" s="276">
        <f t="shared" si="33"/>
        <v>111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-139.45945945945914</v>
      </c>
      <c r="AF46" s="270">
        <f t="shared" si="9"/>
        <v>0.95351351351351366</v>
      </c>
      <c r="AG46" s="636"/>
    </row>
    <row r="47" spans="1:33" ht="15.75" customHeight="1">
      <c r="A47" s="634" t="s">
        <v>12</v>
      </c>
      <c r="B47" s="29" t="s">
        <v>1207</v>
      </c>
      <c r="C47" s="612"/>
      <c r="D47" s="613"/>
      <c r="E47" s="268"/>
      <c r="F47" s="277"/>
      <c r="G47" s="271"/>
      <c r="H47" s="277"/>
      <c r="I47" s="23">
        <v>10.75</v>
      </c>
      <c r="J47" s="31">
        <v>2750</v>
      </c>
      <c r="K47" s="12">
        <f t="shared" si="1"/>
        <v>255.81395348837211</v>
      </c>
      <c r="L47" s="23">
        <v>10.75</v>
      </c>
      <c r="M47" s="13">
        <f>AVERAGE(M43:M46)</f>
        <v>2642.0097198527437</v>
      </c>
      <c r="N47" s="12">
        <f t="shared" si="3"/>
        <v>245.76834603281338</v>
      </c>
      <c r="O47" s="14">
        <f t="shared" si="4"/>
        <v>0</v>
      </c>
      <c r="P47" s="15">
        <f t="shared" si="5"/>
        <v>-10.045607455558724</v>
      </c>
      <c r="Q47" s="270">
        <f t="shared" si="6"/>
        <v>0.96073080721917958</v>
      </c>
      <c r="R47" s="637"/>
      <c r="S47" s="34"/>
      <c r="T47" s="34"/>
      <c r="U47" s="271"/>
      <c r="V47" s="276"/>
      <c r="W47" s="16"/>
      <c r="X47" s="16"/>
      <c r="Y47" s="24">
        <f>SUM(Y43:Y46)</f>
        <v>0</v>
      </c>
      <c r="Z47" s="24">
        <f>SUM(Z43:Z46)</f>
        <v>0</v>
      </c>
      <c r="AA47" s="628"/>
      <c r="AB47" s="629"/>
      <c r="AC47" s="24">
        <v>4</v>
      </c>
      <c r="AD47" s="24">
        <f>SUM(AD43:AD46)</f>
        <v>0</v>
      </c>
      <c r="AE47" s="14">
        <f t="shared" si="8"/>
        <v>-107.99028014725627</v>
      </c>
      <c r="AF47" s="270">
        <f t="shared" si="9"/>
        <v>0.96073080721917958</v>
      </c>
      <c r="AG47" s="637"/>
    </row>
    <row r="48" spans="1:33" ht="15.75" customHeight="1">
      <c r="A48" s="630" t="s">
        <v>838</v>
      </c>
      <c r="B48" s="29" t="s">
        <v>15</v>
      </c>
      <c r="C48" s="616" t="s">
        <v>47</v>
      </c>
      <c r="D48" s="616"/>
      <c r="E48" s="29">
        <v>51.75</v>
      </c>
      <c r="F48" s="32">
        <v>670</v>
      </c>
      <c r="G48" s="271">
        <f t="shared" ref="G48:G54" si="35">E48*F48</f>
        <v>34672.5</v>
      </c>
      <c r="H48" s="33" t="s">
        <v>57</v>
      </c>
      <c r="I48" s="275">
        <v>25</v>
      </c>
      <c r="J48" s="31">
        <v>2000</v>
      </c>
      <c r="K48" s="12">
        <f t="shared" si="1"/>
        <v>80</v>
      </c>
      <c r="L48" s="275">
        <v>25</v>
      </c>
      <c r="M48" s="13">
        <f t="shared" ref="M48" si="36">F48/V48*60</f>
        <v>1914.2857142857138</v>
      </c>
      <c r="N48" s="13">
        <f t="shared" si="3"/>
        <v>76.571428571428555</v>
      </c>
      <c r="O48" s="14">
        <f t="shared" si="4"/>
        <v>0</v>
      </c>
      <c r="P48" s="15">
        <f t="shared" si="5"/>
        <v>-3.4285714285714448</v>
      </c>
      <c r="Q48" s="270">
        <f t="shared" si="6"/>
        <v>0.95714285714285696</v>
      </c>
      <c r="R48" s="615">
        <f>Q55</f>
        <v>0.955001131953639</v>
      </c>
      <c r="S48" s="34">
        <v>0.16666666666666666</v>
      </c>
      <c r="T48" s="34">
        <v>0.18124999999999999</v>
      </c>
      <c r="U48" s="21"/>
      <c r="V48" s="276">
        <f t="shared" ref="V48:V54" si="37">(T48-S48)*24*60</f>
        <v>21.000000000000007</v>
      </c>
      <c r="W48" s="16"/>
      <c r="X48" s="16"/>
      <c r="Y48" s="21"/>
      <c r="Z48" s="21"/>
      <c r="AA48" s="617"/>
      <c r="AB48" s="617"/>
      <c r="AC48" s="35">
        <v>7</v>
      </c>
      <c r="AD48" s="18"/>
      <c r="AE48" s="14">
        <f t="shared" si="8"/>
        <v>-85.714285714286234</v>
      </c>
      <c r="AF48" s="270">
        <f t="shared" si="9"/>
        <v>0.95714285714285685</v>
      </c>
      <c r="AG48" s="615">
        <f>AF55</f>
        <v>0.95500113195363889</v>
      </c>
    </row>
    <row r="49" spans="1:33" ht="15.75" customHeight="1">
      <c r="A49" s="630" t="s">
        <v>838</v>
      </c>
      <c r="B49" s="29" t="s">
        <v>15</v>
      </c>
      <c r="C49" s="616" t="s">
        <v>46</v>
      </c>
      <c r="D49" s="616"/>
      <c r="E49" s="29">
        <v>56.43</v>
      </c>
      <c r="F49" s="32">
        <v>1208</v>
      </c>
      <c r="G49" s="271">
        <f t="shared" si="35"/>
        <v>68167.44</v>
      </c>
      <c r="H49" s="33" t="s">
        <v>57</v>
      </c>
      <c r="I49" s="275">
        <v>22</v>
      </c>
      <c r="J49" s="31">
        <v>2000</v>
      </c>
      <c r="K49" s="12">
        <f t="shared" si="1"/>
        <v>90.909090909090907</v>
      </c>
      <c r="L49" s="275">
        <v>22</v>
      </c>
      <c r="M49" s="13">
        <f>F49/V49*60</f>
        <v>1907.3684210526324</v>
      </c>
      <c r="N49" s="13">
        <f t="shared" si="3"/>
        <v>86.698564593301469</v>
      </c>
      <c r="O49" s="14">
        <f t="shared" si="4"/>
        <v>0</v>
      </c>
      <c r="P49" s="15">
        <f t="shared" si="5"/>
        <v>-4.210526315789437</v>
      </c>
      <c r="Q49" s="270">
        <f t="shared" si="6"/>
        <v>0.95368421052631625</v>
      </c>
      <c r="R49" s="615"/>
      <c r="S49" s="34">
        <v>0.1847222222222222</v>
      </c>
      <c r="T49" s="34">
        <v>0.21111111111111108</v>
      </c>
      <c r="U49" s="271">
        <f t="shared" ref="U49:U54" si="38">IF(S49=TIME(17,0,0),"",(S49-T48)*24*60)</f>
        <v>4.9999999999999822</v>
      </c>
      <c r="V49" s="276">
        <f t="shared" si="37"/>
        <v>37.999999999999986</v>
      </c>
      <c r="W49" s="16">
        <f>T49</f>
        <v>0.21111111111111108</v>
      </c>
      <c r="X49" s="16">
        <f>S50</f>
        <v>0.22847222222222216</v>
      </c>
      <c r="Y49" s="16"/>
      <c r="Z49" s="16"/>
      <c r="AA49" s="617"/>
      <c r="AB49" s="617"/>
      <c r="AC49" s="35"/>
      <c r="AD49" s="18"/>
      <c r="AE49" s="14">
        <f t="shared" si="8"/>
        <v>-92.631578947367643</v>
      </c>
      <c r="AF49" s="270">
        <f t="shared" si="9"/>
        <v>0.95368421052631613</v>
      </c>
      <c r="AG49" s="615"/>
    </row>
    <row r="50" spans="1:33" ht="15.75" customHeight="1">
      <c r="A50" s="630" t="s">
        <v>838</v>
      </c>
      <c r="B50" s="29" t="s">
        <v>19</v>
      </c>
      <c r="C50" s="622" t="s">
        <v>81</v>
      </c>
      <c r="D50" s="623"/>
      <c r="E50" s="29">
        <v>46</v>
      </c>
      <c r="F50" s="32">
        <v>2846</v>
      </c>
      <c r="G50" s="271">
        <f t="shared" si="35"/>
        <v>130916</v>
      </c>
      <c r="H50" s="33" t="s">
        <v>57</v>
      </c>
      <c r="I50" s="275">
        <v>16</v>
      </c>
      <c r="J50" s="31">
        <v>2000</v>
      </c>
      <c r="K50" s="12">
        <f t="shared" si="1"/>
        <v>125</v>
      </c>
      <c r="L50" s="275">
        <v>16</v>
      </c>
      <c r="M50" s="13">
        <f t="shared" ref="M50:M54" si="39">F50/V50*60</f>
        <v>1918.6516853932574</v>
      </c>
      <c r="N50" s="13">
        <f t="shared" si="3"/>
        <v>119.91573033707859</v>
      </c>
      <c r="O50" s="14">
        <f t="shared" si="4"/>
        <v>0</v>
      </c>
      <c r="P50" s="15">
        <f t="shared" si="5"/>
        <v>-5.0842696629214146</v>
      </c>
      <c r="Q50" s="270">
        <f t="shared" si="6"/>
        <v>0.95932584269662868</v>
      </c>
      <c r="R50" s="615"/>
      <c r="S50" s="34">
        <v>0.22847222222222216</v>
      </c>
      <c r="T50" s="34">
        <v>0.29027777777777775</v>
      </c>
      <c r="U50" s="271">
        <f t="shared" si="38"/>
        <v>24.99999999999995</v>
      </c>
      <c r="V50" s="276">
        <f t="shared" si="37"/>
        <v>89.000000000000043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-81.348314606742633</v>
      </c>
      <c r="AF50" s="270">
        <f t="shared" si="9"/>
        <v>0.95932584269662868</v>
      </c>
      <c r="AG50" s="615"/>
    </row>
    <row r="51" spans="1:33" ht="15.75" customHeight="1">
      <c r="A51" s="630" t="s">
        <v>1208</v>
      </c>
      <c r="B51" s="29" t="s">
        <v>19</v>
      </c>
      <c r="C51" s="264" t="s">
        <v>945</v>
      </c>
      <c r="D51" s="265"/>
      <c r="E51" s="29">
        <v>46</v>
      </c>
      <c r="F51" s="32">
        <v>4677</v>
      </c>
      <c r="G51" s="271">
        <f t="shared" si="35"/>
        <v>215142</v>
      </c>
      <c r="H51" s="33" t="s">
        <v>57</v>
      </c>
      <c r="I51" s="275">
        <v>17</v>
      </c>
      <c r="J51" s="31">
        <v>2000</v>
      </c>
      <c r="K51" s="12">
        <f t="shared" si="1"/>
        <v>117.64705882352941</v>
      </c>
      <c r="L51" s="275">
        <v>17</v>
      </c>
      <c r="M51" s="13">
        <f t="shared" si="39"/>
        <v>1908.9795918367345</v>
      </c>
      <c r="N51" s="13">
        <f t="shared" si="3"/>
        <v>112.29291716686673</v>
      </c>
      <c r="O51" s="14">
        <f t="shared" si="4"/>
        <v>0</v>
      </c>
      <c r="P51" s="15">
        <f t="shared" si="5"/>
        <v>-5.3541416566626765</v>
      </c>
      <c r="Q51" s="270">
        <f t="shared" si="6"/>
        <v>0.95448979591836725</v>
      </c>
      <c r="R51" s="615"/>
      <c r="S51" s="34">
        <v>0.2944444444444444</v>
      </c>
      <c r="T51" s="34">
        <v>0.39652777777777776</v>
      </c>
      <c r="U51" s="271">
        <f t="shared" si="38"/>
        <v>5.9999999999999787</v>
      </c>
      <c r="V51" s="276">
        <f t="shared" si="37"/>
        <v>147.00000000000003</v>
      </c>
      <c r="W51" s="16"/>
      <c r="X51" s="16"/>
      <c r="Y51" s="19"/>
      <c r="Z51" s="19"/>
      <c r="AA51" s="617"/>
      <c r="AB51" s="617"/>
      <c r="AC51" s="35"/>
      <c r="AD51" s="18"/>
      <c r="AE51" s="14">
        <f t="shared" si="8"/>
        <v>-91.020408163265529</v>
      </c>
      <c r="AF51" s="270">
        <f t="shared" si="9"/>
        <v>0.95448979591836725</v>
      </c>
      <c r="AG51" s="615"/>
    </row>
    <row r="52" spans="1:33" ht="15.75" customHeight="1">
      <c r="A52" s="630" t="s">
        <v>1209</v>
      </c>
      <c r="B52" s="29" t="s">
        <v>15</v>
      </c>
      <c r="C52" s="264" t="s">
        <v>27</v>
      </c>
      <c r="D52" s="265"/>
      <c r="E52" s="29">
        <v>59.04</v>
      </c>
      <c r="F52" s="32">
        <v>2377</v>
      </c>
      <c r="G52" s="271">
        <f t="shared" si="35"/>
        <v>140338.07999999999</v>
      </c>
      <c r="H52" s="33" t="s">
        <v>57</v>
      </c>
      <c r="I52" s="275">
        <v>19</v>
      </c>
      <c r="J52" s="31">
        <v>2000</v>
      </c>
      <c r="K52" s="12">
        <f t="shared" si="1"/>
        <v>105.26315789473684</v>
      </c>
      <c r="L52" s="275">
        <v>19</v>
      </c>
      <c r="M52" s="13">
        <f t="shared" si="39"/>
        <v>1901.6000000000008</v>
      </c>
      <c r="N52" s="13">
        <f t="shared" si="3"/>
        <v>100.08421052631583</v>
      </c>
      <c r="O52" s="14">
        <f t="shared" si="4"/>
        <v>0</v>
      </c>
      <c r="P52" s="15">
        <f t="shared" si="5"/>
        <v>-5.1789473684210066</v>
      </c>
      <c r="Q52" s="270">
        <f t="shared" si="6"/>
        <v>0.95080000000000042</v>
      </c>
      <c r="R52" s="615"/>
      <c r="S52" s="34">
        <v>0.39999999999999997</v>
      </c>
      <c r="T52" s="34">
        <v>0.45208333333333328</v>
      </c>
      <c r="U52" s="271">
        <f t="shared" si="38"/>
        <v>4.9999999999999822</v>
      </c>
      <c r="V52" s="276">
        <f t="shared" si="37"/>
        <v>74.999999999999972</v>
      </c>
      <c r="W52" s="16"/>
      <c r="X52" s="16"/>
      <c r="Y52" s="19"/>
      <c r="Z52" s="19"/>
      <c r="AA52" s="617"/>
      <c r="AB52" s="617"/>
      <c r="AC52" s="35"/>
      <c r="AD52" s="18"/>
      <c r="AE52" s="14">
        <f t="shared" si="8"/>
        <v>-98.399999999999181</v>
      </c>
      <c r="AF52" s="270">
        <f t="shared" si="9"/>
        <v>0.95080000000000042</v>
      </c>
      <c r="AG52" s="615"/>
    </row>
    <row r="53" spans="1:33" ht="15.75" customHeight="1">
      <c r="A53" s="630" t="s">
        <v>838</v>
      </c>
      <c r="B53" s="29" t="s">
        <v>15</v>
      </c>
      <c r="C53" s="622" t="s">
        <v>48</v>
      </c>
      <c r="D53" s="623"/>
      <c r="E53" s="29">
        <v>55.56</v>
      </c>
      <c r="F53" s="32">
        <v>2193</v>
      </c>
      <c r="G53" s="271">
        <f t="shared" si="35"/>
        <v>121843.08</v>
      </c>
      <c r="H53" s="33" t="s">
        <v>57</v>
      </c>
      <c r="I53" s="275">
        <v>17</v>
      </c>
      <c r="J53" s="31">
        <v>2000</v>
      </c>
      <c r="K53" s="12">
        <f t="shared" si="1"/>
        <v>117.64705882352941</v>
      </c>
      <c r="L53" s="275">
        <v>17</v>
      </c>
      <c r="M53" s="13">
        <f t="shared" si="39"/>
        <v>1906.9565217391284</v>
      </c>
      <c r="N53" s="13">
        <f t="shared" si="3"/>
        <v>112.17391304347814</v>
      </c>
      <c r="O53" s="14">
        <f t="shared" si="4"/>
        <v>0</v>
      </c>
      <c r="P53" s="15">
        <f t="shared" si="5"/>
        <v>-5.4731457800512686</v>
      </c>
      <c r="Q53" s="270">
        <f t="shared" si="6"/>
        <v>0.95347826086956422</v>
      </c>
      <c r="R53" s="615"/>
      <c r="S53" s="34">
        <v>0.70833333333333337</v>
      </c>
      <c r="T53" s="34">
        <v>0.75625000000000009</v>
      </c>
      <c r="U53" s="271" t="str">
        <f t="shared" si="38"/>
        <v/>
      </c>
      <c r="V53" s="276">
        <f t="shared" si="37"/>
        <v>69.000000000000071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-93.043478260871552</v>
      </c>
      <c r="AF53" s="270">
        <f t="shared" si="9"/>
        <v>0.95347826086956422</v>
      </c>
      <c r="AG53" s="615"/>
    </row>
    <row r="54" spans="1:33" ht="15.75" customHeight="1">
      <c r="A54" s="630" t="s">
        <v>838</v>
      </c>
      <c r="B54" s="29" t="s">
        <v>15</v>
      </c>
      <c r="C54" s="622" t="s">
        <v>841</v>
      </c>
      <c r="D54" s="623"/>
      <c r="E54" s="29">
        <v>54.09</v>
      </c>
      <c r="F54" s="32">
        <v>1466</v>
      </c>
      <c r="G54" s="271">
        <f t="shared" si="35"/>
        <v>79295.94</v>
      </c>
      <c r="H54" s="33" t="s">
        <v>57</v>
      </c>
      <c r="I54" s="275">
        <v>13</v>
      </c>
      <c r="J54" s="31">
        <v>2000</v>
      </c>
      <c r="K54" s="12">
        <f t="shared" si="1"/>
        <v>153.84615384615384</v>
      </c>
      <c r="L54" s="275">
        <v>13</v>
      </c>
      <c r="M54" s="13">
        <f t="shared" si="39"/>
        <v>1912.1739130434783</v>
      </c>
      <c r="N54" s="13">
        <f t="shared" si="3"/>
        <v>147.09030100334448</v>
      </c>
      <c r="O54" s="14">
        <f t="shared" si="4"/>
        <v>0</v>
      </c>
      <c r="P54" s="15">
        <f t="shared" si="5"/>
        <v>-6.7558528428093609</v>
      </c>
      <c r="Q54" s="270">
        <f t="shared" si="6"/>
        <v>0.95608695652173914</v>
      </c>
      <c r="R54" s="615"/>
      <c r="S54" s="34">
        <v>0.76111111111111118</v>
      </c>
      <c r="T54" s="34">
        <v>0.79305555555555562</v>
      </c>
      <c r="U54" s="271">
        <f t="shared" si="38"/>
        <v>6.9999999999999751</v>
      </c>
      <c r="V54" s="276">
        <f t="shared" si="37"/>
        <v>46</v>
      </c>
      <c r="W54" s="16"/>
      <c r="X54" s="16"/>
      <c r="Y54" s="19"/>
      <c r="Z54" s="19"/>
      <c r="AA54" s="624"/>
      <c r="AB54" s="625"/>
      <c r="AC54" s="35"/>
      <c r="AD54" s="18"/>
      <c r="AE54" s="14">
        <f t="shared" si="8"/>
        <v>-87.826086956521749</v>
      </c>
      <c r="AF54" s="270">
        <f t="shared" si="9"/>
        <v>0.95608695652173914</v>
      </c>
      <c r="AG54" s="615"/>
    </row>
    <row r="55" spans="1:33">
      <c r="A55" s="631" t="s">
        <v>838</v>
      </c>
      <c r="B55" s="29" t="s">
        <v>1210</v>
      </c>
      <c r="C55" s="618"/>
      <c r="D55" s="618"/>
      <c r="E55" s="272"/>
      <c r="F55" s="30"/>
      <c r="G55" s="12"/>
      <c r="H55" s="277"/>
      <c r="I55" s="23">
        <v>18.428571428571427</v>
      </c>
      <c r="J55" s="31">
        <v>2000</v>
      </c>
      <c r="K55" s="12">
        <f t="shared" si="1"/>
        <v>108.52713178294574</v>
      </c>
      <c r="L55" s="23">
        <v>18.428571428571427</v>
      </c>
      <c r="M55" s="13">
        <f>AVERAGE(M48:M54)</f>
        <v>1910.0022639072779</v>
      </c>
      <c r="N55" s="12">
        <f t="shared" si="3"/>
        <v>103.64353370039494</v>
      </c>
      <c r="O55" s="14">
        <f t="shared" si="4"/>
        <v>0</v>
      </c>
      <c r="P55" s="15">
        <f t="shared" si="5"/>
        <v>-4.8835980825508045</v>
      </c>
      <c r="Q55" s="270">
        <f t="shared" si="6"/>
        <v>0.955001131953639</v>
      </c>
      <c r="R55" s="615"/>
      <c r="S55" s="34"/>
      <c r="T55" s="34"/>
      <c r="U55" s="271"/>
      <c r="V55" s="276"/>
      <c r="W55" s="12"/>
      <c r="X55" s="12"/>
      <c r="Y55" s="24">
        <f>SUM(Y48:Y54)</f>
        <v>0</v>
      </c>
      <c r="Z55" s="24">
        <f>SUM(Z48:Z54)</f>
        <v>0</v>
      </c>
      <c r="AA55" s="614"/>
      <c r="AB55" s="614"/>
      <c r="AC55" s="24">
        <v>7</v>
      </c>
      <c r="AD55" s="24">
        <f>SUM(AD48:AD54)</f>
        <v>0</v>
      </c>
      <c r="AE55" s="14">
        <f>M55-J55</f>
        <v>-89.997736092722107</v>
      </c>
      <c r="AF55" s="270">
        <f t="shared" si="9"/>
        <v>0.95500113195363889</v>
      </c>
      <c r="AG55" s="615"/>
    </row>
    <row r="56" spans="1:33" ht="15.75" customHeight="1">
      <c r="A56" s="626" t="s">
        <v>738</v>
      </c>
      <c r="B56" s="277" t="s">
        <v>40</v>
      </c>
      <c r="C56" s="616" t="s">
        <v>49</v>
      </c>
      <c r="D56" s="616"/>
      <c r="E56" s="29">
        <v>34.36</v>
      </c>
      <c r="F56" s="32">
        <v>1844</v>
      </c>
      <c r="G56" s="271">
        <f t="shared" ref="G56:G60" si="40">E56*F56</f>
        <v>63359.839999999997</v>
      </c>
      <c r="H56" s="33" t="s">
        <v>57</v>
      </c>
      <c r="I56" s="275">
        <v>10</v>
      </c>
      <c r="J56" s="31">
        <v>3000</v>
      </c>
      <c r="K56" s="12">
        <f t="shared" si="1"/>
        <v>300</v>
      </c>
      <c r="L56" s="275">
        <v>10</v>
      </c>
      <c r="M56" s="13">
        <f t="shared" ref="M56:M60" si="41">F56/V56*60</f>
        <v>2911.5789473684217</v>
      </c>
      <c r="N56" s="12">
        <f t="shared" si="3"/>
        <v>291.1578947368422</v>
      </c>
      <c r="O56" s="14">
        <f t="shared" si="4"/>
        <v>0</v>
      </c>
      <c r="P56" s="15">
        <f t="shared" si="5"/>
        <v>-8.842105263157805</v>
      </c>
      <c r="Q56" s="270">
        <f t="shared" si="6"/>
        <v>0.97052631578947401</v>
      </c>
      <c r="R56" s="615">
        <f>Q61</f>
        <v>0.9659179246566032</v>
      </c>
      <c r="S56" s="34">
        <v>0.20833333333333334</v>
      </c>
      <c r="T56" s="34">
        <v>0.23472222222222222</v>
      </c>
      <c r="U56" s="271"/>
      <c r="V56" s="276">
        <f t="shared" ref="V56:V60" si="42">(T56-S56)*24*60</f>
        <v>37.999999999999986</v>
      </c>
      <c r="W56" s="16"/>
      <c r="X56" s="16"/>
      <c r="Y56" s="21"/>
      <c r="Z56" s="21"/>
      <c r="AA56" s="617"/>
      <c r="AB56" s="617"/>
      <c r="AC56" s="35">
        <v>5</v>
      </c>
      <c r="AD56" s="18"/>
      <c r="AE56" s="14">
        <f t="shared" ref="AE56:AE67" si="43">M56-J56</f>
        <v>-88.421052631578277</v>
      </c>
      <c r="AF56" s="270">
        <f t="shared" si="9"/>
        <v>0.9705263157894739</v>
      </c>
      <c r="AG56" s="615">
        <f>AF61</f>
        <v>0.96591792465660331</v>
      </c>
    </row>
    <row r="57" spans="1:33" ht="15.75" customHeight="1">
      <c r="A57" s="626" t="s">
        <v>1211</v>
      </c>
      <c r="B57" s="277" t="s">
        <v>40</v>
      </c>
      <c r="C57" s="616" t="s">
        <v>50</v>
      </c>
      <c r="D57" s="616"/>
      <c r="E57" s="29">
        <v>34.36</v>
      </c>
      <c r="F57" s="32">
        <v>881</v>
      </c>
      <c r="G57" s="271">
        <f t="shared" si="40"/>
        <v>30271.16</v>
      </c>
      <c r="H57" s="33" t="s">
        <v>57</v>
      </c>
      <c r="I57" s="275">
        <v>10</v>
      </c>
      <c r="J57" s="31">
        <v>3000</v>
      </c>
      <c r="K57" s="12">
        <f t="shared" si="1"/>
        <v>300</v>
      </c>
      <c r="L57" s="275">
        <v>10</v>
      </c>
      <c r="M57" s="13">
        <f t="shared" si="41"/>
        <v>2936.6666666666706</v>
      </c>
      <c r="N57" s="12">
        <f t="shared" si="3"/>
        <v>293.66666666666708</v>
      </c>
      <c r="O57" s="14">
        <f t="shared" si="4"/>
        <v>0</v>
      </c>
      <c r="P57" s="15">
        <f t="shared" si="5"/>
        <v>-6.3333333333329165</v>
      </c>
      <c r="Q57" s="270">
        <f t="shared" si="6"/>
        <v>0.97888888888889025</v>
      </c>
      <c r="R57" s="615"/>
      <c r="S57" s="34">
        <v>0.23958333333333334</v>
      </c>
      <c r="T57" s="34">
        <v>0.25208333333333333</v>
      </c>
      <c r="U57" s="271">
        <f t="shared" ref="U57:U60" si="44">(S57-T56)*24*60</f>
        <v>7.0000000000000151</v>
      </c>
      <c r="V57" s="276">
        <f t="shared" si="42"/>
        <v>17.999999999999975</v>
      </c>
      <c r="W57" s="271"/>
      <c r="X57" s="271"/>
      <c r="Y57" s="271"/>
      <c r="Z57" s="271"/>
      <c r="AA57" s="617"/>
      <c r="AB57" s="617"/>
      <c r="AC57" s="35"/>
      <c r="AD57" s="18"/>
      <c r="AE57" s="14">
        <f t="shared" si="43"/>
        <v>-63.333333333329392</v>
      </c>
      <c r="AF57" s="270">
        <f t="shared" si="9"/>
        <v>0.97888888888889025</v>
      </c>
      <c r="AG57" s="615"/>
    </row>
    <row r="58" spans="1:33" ht="15.75" customHeight="1">
      <c r="A58" s="626" t="s">
        <v>1211</v>
      </c>
      <c r="B58" s="277" t="s">
        <v>40</v>
      </c>
      <c r="C58" s="616" t="s">
        <v>51</v>
      </c>
      <c r="D58" s="616"/>
      <c r="E58" s="29">
        <v>26.78</v>
      </c>
      <c r="F58" s="32">
        <v>2059</v>
      </c>
      <c r="G58" s="271">
        <f t="shared" si="40"/>
        <v>55140.020000000004</v>
      </c>
      <c r="H58" s="33" t="s">
        <v>57</v>
      </c>
      <c r="I58" s="275">
        <v>10</v>
      </c>
      <c r="J58" s="31">
        <v>3000</v>
      </c>
      <c r="K58" s="12">
        <f t="shared" si="1"/>
        <v>300</v>
      </c>
      <c r="L58" s="275">
        <v>10</v>
      </c>
      <c r="M58" s="13">
        <f t="shared" si="41"/>
        <v>2873.0232558139528</v>
      </c>
      <c r="N58" s="12">
        <f t="shared" si="3"/>
        <v>287.30232558139528</v>
      </c>
      <c r="O58" s="14">
        <f t="shared" si="4"/>
        <v>0</v>
      </c>
      <c r="P58" s="15">
        <f t="shared" si="5"/>
        <v>-12.69767441860472</v>
      </c>
      <c r="Q58" s="270">
        <f t="shared" si="6"/>
        <v>0.95767441860465097</v>
      </c>
      <c r="R58" s="615"/>
      <c r="S58" s="34">
        <v>0.25624999999999998</v>
      </c>
      <c r="T58" s="34">
        <v>0.28611111111111109</v>
      </c>
      <c r="U58" s="271">
        <f t="shared" si="44"/>
        <v>5.9999999999999787</v>
      </c>
      <c r="V58" s="276">
        <f t="shared" si="42"/>
        <v>43.000000000000007</v>
      </c>
      <c r="W58" s="271"/>
      <c r="X58" s="271"/>
      <c r="Y58" s="271"/>
      <c r="Z58" s="271"/>
      <c r="AA58" s="617"/>
      <c r="AB58" s="617"/>
      <c r="AC58" s="35"/>
      <c r="AD58" s="18"/>
      <c r="AE58" s="14">
        <f t="shared" si="43"/>
        <v>-126.9767441860472</v>
      </c>
      <c r="AF58" s="270">
        <f t="shared" si="9"/>
        <v>0.95767441860465097</v>
      </c>
      <c r="AG58" s="615"/>
    </row>
    <row r="59" spans="1:33" ht="15.75" customHeight="1">
      <c r="A59" s="626" t="s">
        <v>1211</v>
      </c>
      <c r="B59" s="277" t="s">
        <v>40</v>
      </c>
      <c r="C59" s="616" t="s">
        <v>52</v>
      </c>
      <c r="D59" s="616"/>
      <c r="E59" s="29">
        <v>35.869999999999997</v>
      </c>
      <c r="F59" s="32">
        <v>3086</v>
      </c>
      <c r="G59" s="271">
        <f t="shared" si="40"/>
        <v>110694.81999999999</v>
      </c>
      <c r="H59" s="33" t="s">
        <v>57</v>
      </c>
      <c r="I59" s="275">
        <v>9</v>
      </c>
      <c r="J59" s="31">
        <v>3000</v>
      </c>
      <c r="K59" s="12">
        <f t="shared" si="1"/>
        <v>333.33333333333331</v>
      </c>
      <c r="L59" s="275">
        <v>9</v>
      </c>
      <c r="M59" s="13">
        <f t="shared" si="41"/>
        <v>2893.1249999999991</v>
      </c>
      <c r="N59" s="12">
        <f t="shared" si="3"/>
        <v>321.45833333333326</v>
      </c>
      <c r="O59" s="14">
        <f t="shared" si="4"/>
        <v>0</v>
      </c>
      <c r="P59" s="15">
        <f t="shared" si="5"/>
        <v>-11.875000000000057</v>
      </c>
      <c r="Q59" s="270">
        <f t="shared" si="6"/>
        <v>0.96437499999999987</v>
      </c>
      <c r="R59" s="615"/>
      <c r="S59" s="34">
        <v>0.29027777777777775</v>
      </c>
      <c r="T59" s="34">
        <v>0.3347222222222222</v>
      </c>
      <c r="U59" s="271">
        <f t="shared" si="44"/>
        <v>5.9999999999999787</v>
      </c>
      <c r="V59" s="276">
        <f t="shared" si="42"/>
        <v>64.000000000000014</v>
      </c>
      <c r="W59" s="271"/>
      <c r="X59" s="271"/>
      <c r="Y59" s="271"/>
      <c r="Z59" s="271"/>
      <c r="AA59" s="617"/>
      <c r="AB59" s="617"/>
      <c r="AC59" s="35"/>
      <c r="AD59" s="18"/>
      <c r="AE59" s="14">
        <f t="shared" si="43"/>
        <v>-106.87500000000091</v>
      </c>
      <c r="AF59" s="270">
        <f t="shared" si="9"/>
        <v>0.96437499999999965</v>
      </c>
      <c r="AG59" s="615"/>
    </row>
    <row r="60" spans="1:33">
      <c r="A60" s="627" t="s">
        <v>1211</v>
      </c>
      <c r="B60" s="277" t="s">
        <v>40</v>
      </c>
      <c r="C60" s="616" t="s">
        <v>53</v>
      </c>
      <c r="D60" s="616"/>
      <c r="E60" s="29">
        <v>34.35</v>
      </c>
      <c r="F60" s="32">
        <v>1533</v>
      </c>
      <c r="G60" s="271">
        <f t="shared" si="40"/>
        <v>52658.55</v>
      </c>
      <c r="H60" s="33" t="s">
        <v>57</v>
      </c>
      <c r="I60" s="275">
        <v>8</v>
      </c>
      <c r="J60" s="31">
        <v>3000</v>
      </c>
      <c r="K60" s="12">
        <f t="shared" si="1"/>
        <v>375</v>
      </c>
      <c r="L60" s="275">
        <v>8</v>
      </c>
      <c r="M60" s="13">
        <f t="shared" si="41"/>
        <v>2874.3750000000032</v>
      </c>
      <c r="N60" s="12">
        <f t="shared" si="3"/>
        <v>359.2968750000004</v>
      </c>
      <c r="O60" s="14">
        <f t="shared" si="4"/>
        <v>0</v>
      </c>
      <c r="P60" s="15">
        <f t="shared" si="5"/>
        <v>-15.703124999999602</v>
      </c>
      <c r="Q60" s="270">
        <f t="shared" si="6"/>
        <v>0.95812500000000111</v>
      </c>
      <c r="R60" s="615"/>
      <c r="S60" s="34">
        <v>0.33888888888888885</v>
      </c>
      <c r="T60" s="34">
        <v>0.36111111111111105</v>
      </c>
      <c r="U60" s="271">
        <f t="shared" si="44"/>
        <v>5.9999999999999787</v>
      </c>
      <c r="V60" s="276">
        <f t="shared" si="42"/>
        <v>31.999999999999964</v>
      </c>
      <c r="W60" s="16"/>
      <c r="X60" s="16"/>
      <c r="Y60" s="16"/>
      <c r="Z60" s="16"/>
      <c r="AA60" s="617"/>
      <c r="AB60" s="617"/>
      <c r="AC60" s="35"/>
      <c r="AD60" s="18"/>
      <c r="AE60" s="14">
        <f t="shared" si="43"/>
        <v>-125.62499999999682</v>
      </c>
      <c r="AF60" s="270">
        <f t="shared" si="9"/>
        <v>0.95812500000000111</v>
      </c>
      <c r="AG60" s="615"/>
    </row>
    <row r="61" spans="1:33">
      <c r="A61" s="627" t="s">
        <v>1211</v>
      </c>
      <c r="B61" s="29" t="s">
        <v>1212</v>
      </c>
      <c r="C61" s="618"/>
      <c r="D61" s="618"/>
      <c r="E61" s="272"/>
      <c r="F61" s="30"/>
      <c r="G61" s="12"/>
      <c r="H61" s="277"/>
      <c r="I61" s="23">
        <v>9.4</v>
      </c>
      <c r="J61" s="31">
        <v>3000</v>
      </c>
      <c r="K61" s="12">
        <f t="shared" si="1"/>
        <v>319.14893617021278</v>
      </c>
      <c r="L61" s="23">
        <v>9.4</v>
      </c>
      <c r="M61" s="13">
        <f>AVERAGE(M56:M60)</f>
        <v>2897.75377396981</v>
      </c>
      <c r="N61" s="12">
        <f t="shared" si="3"/>
        <v>308.27167808189466</v>
      </c>
      <c r="O61" s="14">
        <f t="shared" si="4"/>
        <v>0</v>
      </c>
      <c r="P61" s="15">
        <f t="shared" si="5"/>
        <v>-10.877258088318115</v>
      </c>
      <c r="Q61" s="270">
        <f t="shared" si="6"/>
        <v>0.9659179246566032</v>
      </c>
      <c r="R61" s="615"/>
      <c r="S61" s="34"/>
      <c r="T61" s="34"/>
      <c r="U61" s="12"/>
      <c r="V61" s="276"/>
      <c r="W61" s="12"/>
      <c r="X61" s="12"/>
      <c r="Y61" s="24">
        <f>SUM(Y56:Y60)</f>
        <v>0</v>
      </c>
      <c r="Z61" s="24">
        <f>SUM(Z56:Z60)</f>
        <v>0</v>
      </c>
      <c r="AA61" s="614"/>
      <c r="AB61" s="614"/>
      <c r="AC61" s="24">
        <v>5</v>
      </c>
      <c r="AD61" s="24">
        <f>SUM(AD56:AD60)</f>
        <v>0</v>
      </c>
      <c r="AE61" s="14">
        <f t="shared" si="43"/>
        <v>-102.24622603018997</v>
      </c>
      <c r="AF61" s="270">
        <f t="shared" si="9"/>
        <v>0.96591792465660331</v>
      </c>
      <c r="AG61" s="615"/>
    </row>
    <row r="62" spans="1:33" ht="15.75" customHeight="1">
      <c r="A62" s="619" t="s">
        <v>14</v>
      </c>
      <c r="B62" s="277" t="s">
        <v>32</v>
      </c>
      <c r="C62" s="616" t="s">
        <v>56</v>
      </c>
      <c r="D62" s="616"/>
      <c r="E62" s="29">
        <v>19.02</v>
      </c>
      <c r="F62" s="277">
        <v>7483</v>
      </c>
      <c r="G62" s="271">
        <f t="shared" ref="G62:G66" si="45">E62*F62</f>
        <v>142326.66</v>
      </c>
      <c r="H62" s="33" t="s">
        <v>57</v>
      </c>
      <c r="I62" s="275">
        <v>14</v>
      </c>
      <c r="J62" s="31">
        <v>2400</v>
      </c>
      <c r="K62" s="12">
        <f t="shared" si="1"/>
        <v>171.42857142857142</v>
      </c>
      <c r="L62" s="275">
        <v>14</v>
      </c>
      <c r="M62" s="13">
        <f t="shared" ref="M62:M66" si="46">F62/V62*60</f>
        <v>2290.7142857142853</v>
      </c>
      <c r="N62" s="12">
        <f t="shared" si="3"/>
        <v>163.62244897959181</v>
      </c>
      <c r="O62" s="14">
        <f t="shared" si="4"/>
        <v>0</v>
      </c>
      <c r="P62" s="15">
        <f t="shared" si="5"/>
        <v>-7.8061224489796075</v>
      </c>
      <c r="Q62" s="270">
        <f t="shared" si="6"/>
        <v>0.95446428571428565</v>
      </c>
      <c r="R62" s="615">
        <f>Q67</f>
        <v>0.95776858611020055</v>
      </c>
      <c r="S62" s="34">
        <v>8.3333333333333329E-2</v>
      </c>
      <c r="T62" s="34">
        <v>0.21944444444444444</v>
      </c>
      <c r="U62" s="21"/>
      <c r="V62" s="276">
        <f t="shared" ref="V62:V66" si="47">(T62-S62)*24*60</f>
        <v>196.00000000000003</v>
      </c>
      <c r="W62" s="16">
        <f>T62</f>
        <v>0.21944444444444444</v>
      </c>
      <c r="X62" s="16">
        <f>S63</f>
        <v>0.24097222222222223</v>
      </c>
      <c r="Y62" s="16"/>
      <c r="Z62" s="16"/>
      <c r="AA62" s="617"/>
      <c r="AB62" s="617"/>
      <c r="AC62" s="35">
        <v>5</v>
      </c>
      <c r="AD62" s="18"/>
      <c r="AE62" s="14">
        <f t="shared" si="43"/>
        <v>-109.28571428571468</v>
      </c>
      <c r="AF62" s="270">
        <f t="shared" si="9"/>
        <v>0.95446428571428554</v>
      </c>
      <c r="AG62" s="615">
        <f>AF67</f>
        <v>0.95776858611020055</v>
      </c>
    </row>
    <row r="63" spans="1:33" ht="15.75" customHeight="1">
      <c r="A63" s="620" t="s">
        <v>14</v>
      </c>
      <c r="B63" s="277" t="s">
        <v>32</v>
      </c>
      <c r="C63" s="616" t="s">
        <v>36</v>
      </c>
      <c r="D63" s="616"/>
      <c r="E63" s="29">
        <v>20.36</v>
      </c>
      <c r="F63" s="277">
        <v>3613</v>
      </c>
      <c r="G63" s="271">
        <f t="shared" si="45"/>
        <v>73560.679999999993</v>
      </c>
      <c r="H63" s="33" t="s">
        <v>57</v>
      </c>
      <c r="I63" s="275">
        <v>17</v>
      </c>
      <c r="J63" s="31">
        <v>2400</v>
      </c>
      <c r="K63" s="12">
        <f t="shared" si="1"/>
        <v>141.1764705882353</v>
      </c>
      <c r="L63" s="275">
        <v>17</v>
      </c>
      <c r="M63" s="13">
        <f t="shared" si="46"/>
        <v>2306.1702127659564</v>
      </c>
      <c r="N63" s="12">
        <f t="shared" si="3"/>
        <v>135.65707133917391</v>
      </c>
      <c r="O63" s="14">
        <f t="shared" si="4"/>
        <v>0</v>
      </c>
      <c r="P63" s="15">
        <f t="shared" si="5"/>
        <v>-5.5193992490613937</v>
      </c>
      <c r="Q63" s="270">
        <f t="shared" si="6"/>
        <v>0.96090425531914847</v>
      </c>
      <c r="R63" s="615"/>
      <c r="S63" s="34">
        <v>0.24097222222222223</v>
      </c>
      <c r="T63" s="34">
        <v>0.30625000000000002</v>
      </c>
      <c r="U63" s="271">
        <f t="shared" ref="U63:U66" si="48">(S63-T62)*24*60</f>
        <v>31.000000000000011</v>
      </c>
      <c r="V63" s="276">
        <f t="shared" si="47"/>
        <v>94.000000000000028</v>
      </c>
      <c r="W63" s="16"/>
      <c r="X63" s="16"/>
      <c r="Y63" s="16"/>
      <c r="Z63" s="16"/>
      <c r="AA63" s="617"/>
      <c r="AB63" s="617"/>
      <c r="AC63" s="35"/>
      <c r="AD63" s="18"/>
      <c r="AE63" s="14">
        <f t="shared" si="43"/>
        <v>-93.829787234043579</v>
      </c>
      <c r="AF63" s="270">
        <f t="shared" si="9"/>
        <v>0.96090425531914847</v>
      </c>
      <c r="AG63" s="615"/>
    </row>
    <row r="64" spans="1:33" ht="15.75" customHeight="1">
      <c r="A64" s="620" t="s">
        <v>14</v>
      </c>
      <c r="B64" s="277" t="s">
        <v>32</v>
      </c>
      <c r="C64" s="616" t="s">
        <v>949</v>
      </c>
      <c r="D64" s="616"/>
      <c r="E64" s="29">
        <v>25.98</v>
      </c>
      <c r="F64" s="277">
        <v>5739</v>
      </c>
      <c r="G64" s="271">
        <f t="shared" si="45"/>
        <v>149099.22</v>
      </c>
      <c r="H64" s="33" t="s">
        <v>57</v>
      </c>
      <c r="I64" s="275">
        <v>17</v>
      </c>
      <c r="J64" s="31">
        <v>2400</v>
      </c>
      <c r="K64" s="12">
        <f t="shared" si="1"/>
        <v>141.1764705882353</v>
      </c>
      <c r="L64" s="275">
        <v>17</v>
      </c>
      <c r="M64" s="13">
        <f t="shared" si="46"/>
        <v>2295.5999999999995</v>
      </c>
      <c r="N64" s="12">
        <f t="shared" si="3"/>
        <v>135.03529411764703</v>
      </c>
      <c r="O64" s="14">
        <f t="shared" si="4"/>
        <v>0</v>
      </c>
      <c r="P64" s="15">
        <f t="shared" si="5"/>
        <v>-6.1411764705882774</v>
      </c>
      <c r="Q64" s="270">
        <f t="shared" si="6"/>
        <v>0.95649999999999968</v>
      </c>
      <c r="R64" s="615"/>
      <c r="S64" s="34">
        <v>0.31180555555555556</v>
      </c>
      <c r="T64" s="34">
        <v>0.41597222222222224</v>
      </c>
      <c r="U64" s="271">
        <f t="shared" si="48"/>
        <v>7.9999999999999716</v>
      </c>
      <c r="V64" s="276">
        <f t="shared" si="47"/>
        <v>150.00000000000003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-104.40000000000055</v>
      </c>
      <c r="AF64" s="270">
        <f t="shared" si="9"/>
        <v>0.95649999999999979</v>
      </c>
      <c r="AG64" s="615"/>
    </row>
    <row r="65" spans="1:33" ht="15.75" customHeight="1">
      <c r="A65" s="620" t="s">
        <v>1213</v>
      </c>
      <c r="B65" s="277" t="s">
        <v>32</v>
      </c>
      <c r="C65" s="616" t="s">
        <v>54</v>
      </c>
      <c r="D65" s="616"/>
      <c r="E65" s="29">
        <v>20.21</v>
      </c>
      <c r="F65" s="277">
        <v>2649</v>
      </c>
      <c r="G65" s="271">
        <f t="shared" si="45"/>
        <v>53536.29</v>
      </c>
      <c r="H65" s="33" t="s">
        <v>57</v>
      </c>
      <c r="I65" s="275">
        <v>15</v>
      </c>
      <c r="J65" s="31">
        <v>2400</v>
      </c>
      <c r="K65" s="12">
        <f t="shared" si="1"/>
        <v>160</v>
      </c>
      <c r="L65" s="275">
        <v>15</v>
      </c>
      <c r="M65" s="13">
        <f t="shared" si="46"/>
        <v>2303.478260869565</v>
      </c>
      <c r="N65" s="12">
        <f t="shared" si="3"/>
        <v>153.56521739130434</v>
      </c>
      <c r="O65" s="14">
        <f t="shared" si="4"/>
        <v>0</v>
      </c>
      <c r="P65" s="15">
        <f t="shared" si="5"/>
        <v>-6.4347826086956559</v>
      </c>
      <c r="Q65" s="270">
        <f t="shared" si="6"/>
        <v>0.95978260869565213</v>
      </c>
      <c r="R65" s="615"/>
      <c r="S65" s="34">
        <v>0.4201388888888889</v>
      </c>
      <c r="T65" s="34">
        <v>0.46805555555555556</v>
      </c>
      <c r="U65" s="271">
        <f t="shared" si="48"/>
        <v>5.9999999999999787</v>
      </c>
      <c r="V65" s="276">
        <f t="shared" si="47"/>
        <v>69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-96.52173913043498</v>
      </c>
      <c r="AF65" s="270">
        <f t="shared" si="9"/>
        <v>0.95978260869565213</v>
      </c>
      <c r="AG65" s="615"/>
    </row>
    <row r="66" spans="1:33" ht="15.75" customHeight="1">
      <c r="A66" s="620" t="s">
        <v>1214</v>
      </c>
      <c r="B66" s="277" t="s">
        <v>32</v>
      </c>
      <c r="C66" s="616" t="s">
        <v>55</v>
      </c>
      <c r="D66" s="616"/>
      <c r="E66" s="29">
        <v>22.69</v>
      </c>
      <c r="F66" s="277">
        <v>2795</v>
      </c>
      <c r="G66" s="271">
        <f t="shared" si="45"/>
        <v>63418.55</v>
      </c>
      <c r="H66" s="33" t="s">
        <v>57</v>
      </c>
      <c r="I66" s="275">
        <v>15</v>
      </c>
      <c r="J66" s="31">
        <v>2400</v>
      </c>
      <c r="K66" s="12">
        <f t="shared" si="1"/>
        <v>160</v>
      </c>
      <c r="L66" s="275">
        <v>15</v>
      </c>
      <c r="M66" s="13">
        <f t="shared" si="46"/>
        <v>2297.2602739726008</v>
      </c>
      <c r="N66" s="12">
        <f t="shared" si="3"/>
        <v>153.15068493150673</v>
      </c>
      <c r="O66" s="14">
        <f t="shared" si="4"/>
        <v>0</v>
      </c>
      <c r="P66" s="15">
        <f t="shared" si="5"/>
        <v>-6.8493150684932687</v>
      </c>
      <c r="Q66" s="270">
        <f t="shared" si="6"/>
        <v>0.95719178082191703</v>
      </c>
      <c r="R66" s="615"/>
      <c r="S66" s="34">
        <v>0.47361111111111109</v>
      </c>
      <c r="T66" s="34">
        <v>0.52430555555555558</v>
      </c>
      <c r="U66" s="271">
        <f t="shared" si="48"/>
        <v>7.9999999999999716</v>
      </c>
      <c r="V66" s="276">
        <f t="shared" si="47"/>
        <v>73.000000000000057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-102.73972602739923</v>
      </c>
      <c r="AF66" s="270">
        <f t="shared" si="9"/>
        <v>0.95719178082191703</v>
      </c>
      <c r="AG66" s="615"/>
    </row>
    <row r="67" spans="1:33" ht="16.5" customHeight="1">
      <c r="A67" s="621" t="s">
        <v>1215</v>
      </c>
      <c r="B67" s="29" t="s">
        <v>6</v>
      </c>
      <c r="C67" s="612"/>
      <c r="D67" s="613"/>
      <c r="E67" s="272"/>
      <c r="F67" s="30"/>
      <c r="G67" s="12"/>
      <c r="H67" s="277"/>
      <c r="I67" s="23">
        <v>15.6</v>
      </c>
      <c r="J67" s="31">
        <v>2400</v>
      </c>
      <c r="K67" s="12">
        <f t="shared" si="1"/>
        <v>153.84615384615384</v>
      </c>
      <c r="L67" s="23">
        <v>15.6</v>
      </c>
      <c r="M67" s="13">
        <f>AVERAGE(M62:M66)</f>
        <v>2298.6446066644812</v>
      </c>
      <c r="N67" s="12">
        <f t="shared" si="3"/>
        <v>147.34901324772315</v>
      </c>
      <c r="O67" s="14">
        <f t="shared" si="4"/>
        <v>0</v>
      </c>
      <c r="P67" s="15">
        <f t="shared" si="5"/>
        <v>-6.4971405984306898</v>
      </c>
      <c r="Q67" s="270">
        <f t="shared" si="6"/>
        <v>0.95776858611020055</v>
      </c>
      <c r="R67" s="615"/>
      <c r="S67" s="34"/>
      <c r="T67" s="34"/>
      <c r="U67" s="12"/>
      <c r="V67" s="276"/>
      <c r="W67" s="12"/>
      <c r="X67" s="12"/>
      <c r="Y67" s="24">
        <f>SUM(Y62:Y66)</f>
        <v>0</v>
      </c>
      <c r="Z67" s="24">
        <f>SUM(Z62:Z66)</f>
        <v>0</v>
      </c>
      <c r="AA67" s="614"/>
      <c r="AB67" s="614"/>
      <c r="AC67" s="24">
        <v>5</v>
      </c>
      <c r="AD67" s="24">
        <f>SUM(AD62:AD66)</f>
        <v>0</v>
      </c>
      <c r="AE67" s="14">
        <f t="shared" si="43"/>
        <v>-101.35539333551878</v>
      </c>
      <c r="AF67" s="270">
        <f t="shared" si="9"/>
        <v>0.95776858611020055</v>
      </c>
      <c r="AG67" s="615"/>
    </row>
    <row r="68" spans="1:33">
      <c r="D68" s="25"/>
      <c r="E68" s="25"/>
    </row>
  </sheetData>
  <mergeCells count="183"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2:A67"/>
    <mergeCell ref="C62:D62"/>
    <mergeCell ref="R62:R67"/>
    <mergeCell ref="AA62:AB62"/>
    <mergeCell ref="AA67:AB67"/>
    <mergeCell ref="A56:A61"/>
    <mergeCell ref="C56:D56"/>
    <mergeCell ref="R56:R61"/>
    <mergeCell ref="AA56:AB56"/>
    <mergeCell ref="AG56:AG61"/>
    <mergeCell ref="C57:D57"/>
    <mergeCell ref="AA57:AB57"/>
    <mergeCell ref="C58:D58"/>
    <mergeCell ref="AA58:AB58"/>
    <mergeCell ref="C59:D59"/>
    <mergeCell ref="AG48:AG55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A59:AB59"/>
    <mergeCell ref="C60:D60"/>
    <mergeCell ref="AA60:AB60"/>
    <mergeCell ref="C61:D61"/>
    <mergeCell ref="AA61:AB61"/>
    <mergeCell ref="A48:A55"/>
    <mergeCell ref="C48:D48"/>
    <mergeCell ref="R48:R55"/>
    <mergeCell ref="AA48:AB48"/>
    <mergeCell ref="AA54:AB54"/>
    <mergeCell ref="C55:D55"/>
    <mergeCell ref="AA55:AB55"/>
    <mergeCell ref="A43:A47"/>
    <mergeCell ref="C43:D43"/>
    <mergeCell ref="R43:R47"/>
    <mergeCell ref="AA43:AB43"/>
    <mergeCell ref="AG43:AG47"/>
    <mergeCell ref="C44:D44"/>
    <mergeCell ref="AA44:AB44"/>
    <mergeCell ref="C45:D45"/>
    <mergeCell ref="AA45:AB45"/>
    <mergeCell ref="C46:D46"/>
    <mergeCell ref="AA39:AB39"/>
    <mergeCell ref="C40:D40"/>
    <mergeCell ref="AA40:AB40"/>
    <mergeCell ref="C41:D41"/>
    <mergeCell ref="AA41:AB41"/>
    <mergeCell ref="C42:D42"/>
    <mergeCell ref="AA42:AB42"/>
    <mergeCell ref="AA46:AB46"/>
    <mergeCell ref="C47:D47"/>
    <mergeCell ref="AA47:AB47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39:D39"/>
    <mergeCell ref="A30:A35"/>
    <mergeCell ref="C30:D30"/>
    <mergeCell ref="R30:R35"/>
    <mergeCell ref="AA30:AB30"/>
    <mergeCell ref="AA35:AB35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G22:AG29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29:D29"/>
    <mergeCell ref="AA29:AB29"/>
    <mergeCell ref="A22:A29"/>
    <mergeCell ref="C22:D22"/>
    <mergeCell ref="R22:R29"/>
    <mergeCell ref="AA22:AB22"/>
    <mergeCell ref="AA27:AB27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5:O56 O59:O67 O5:O9 O13:O15 O21:O53">
    <cfRule type="cellIs" dxfId="821" priority="48" operator="greaterThan">
      <formula>0</formula>
    </cfRule>
  </conditionalFormatting>
  <conditionalFormatting sqref="P5:P7 P59:P60 AE59:AE60 P62:P66 P30:P34 P56 P9 P13:P15 P22:P28 P48:P53 P36:P46 AE5:AE56 AE62:AE67">
    <cfRule type="cellIs" dxfId="820" priority="52" operator="lessThan">
      <formula>0</formula>
    </cfRule>
  </conditionalFormatting>
  <conditionalFormatting sqref="AF59:AF60 Q55:Q56 Q59:Q67 Q5:Q9 Q13:Q15 Q21:Q53 AF5:AF56 AF62:AF67">
    <cfRule type="cellIs" dxfId="819" priority="49" operator="greaterThan">
      <formula>1</formula>
    </cfRule>
    <cfRule type="cellIs" dxfId="818" priority="50" operator="lessThan">
      <formula>0.8</formula>
    </cfRule>
  </conditionalFormatting>
  <conditionalFormatting sqref="AG14:AG15 R14:R15 AG59 R21:R27 AG21:AG27 AG55:AG56 R55:R56 R59:R67 AG5:AG9 R5:R9 AG29:AG53 R29:R53">
    <cfRule type="cellIs" dxfId="817" priority="54" operator="lessThan">
      <formula>0.8</formula>
    </cfRule>
  </conditionalFormatting>
  <conditionalFormatting sqref="AG43">
    <cfRule type="cellIs" dxfId="816" priority="56" operator="lessThan">
      <formula>0.8</formula>
    </cfRule>
  </conditionalFormatting>
  <conditionalFormatting sqref="AG22:AG27">
    <cfRule type="cellIs" dxfId="815" priority="53" operator="lessThan">
      <formula>0.8</formula>
    </cfRule>
  </conditionalFormatting>
  <conditionalFormatting sqref="AG30">
    <cfRule type="cellIs" dxfId="814" priority="55" operator="lessThan">
      <formula>0.8</formula>
    </cfRule>
  </conditionalFormatting>
  <conditionalFormatting sqref="AG36:AG41">
    <cfRule type="cellIs" dxfId="813" priority="51" operator="lessThan">
      <formula>0.8</formula>
    </cfRule>
  </conditionalFormatting>
  <conditionalFormatting sqref="AE61">
    <cfRule type="cellIs" dxfId="812" priority="47" operator="lessThan">
      <formula>0</formula>
    </cfRule>
  </conditionalFormatting>
  <conditionalFormatting sqref="AF61">
    <cfRule type="cellIs" dxfId="811" priority="45" operator="greaterThan">
      <formula>1</formula>
    </cfRule>
    <cfRule type="cellIs" dxfId="810" priority="46" operator="lessThan">
      <formula>0.8</formula>
    </cfRule>
  </conditionalFormatting>
  <conditionalFormatting sqref="O16:O17">
    <cfRule type="cellIs" dxfId="809" priority="40" operator="greaterThan">
      <formula>0</formula>
    </cfRule>
  </conditionalFormatting>
  <conditionalFormatting sqref="P16:P17">
    <cfRule type="cellIs" dxfId="808" priority="43" operator="lessThan">
      <formula>0</formula>
    </cfRule>
  </conditionalFormatting>
  <conditionalFormatting sqref="Q16:Q17">
    <cfRule type="cellIs" dxfId="807" priority="41" operator="greaterThan">
      <formula>1</formula>
    </cfRule>
    <cfRule type="cellIs" dxfId="806" priority="42" operator="lessThan">
      <formula>0.8</formula>
    </cfRule>
  </conditionalFormatting>
  <conditionalFormatting sqref="R16:R17 AG16:AG17">
    <cfRule type="cellIs" dxfId="805" priority="44" operator="lessThan">
      <formula>0.8</formula>
    </cfRule>
  </conditionalFormatting>
  <conditionalFormatting sqref="O10:O12">
    <cfRule type="cellIs" dxfId="804" priority="36" operator="greaterThan">
      <formula>0</formula>
    </cfRule>
  </conditionalFormatting>
  <conditionalFormatting sqref="P10:P12">
    <cfRule type="cellIs" dxfId="803" priority="39" operator="lessThan">
      <formula>0</formula>
    </cfRule>
  </conditionalFormatting>
  <conditionalFormatting sqref="Q10:Q12">
    <cfRule type="cellIs" dxfId="802" priority="37" operator="greaterThan">
      <formula>1</formula>
    </cfRule>
    <cfRule type="cellIs" dxfId="801" priority="38" operator="lessThan">
      <formula>0.8</formula>
    </cfRule>
  </conditionalFormatting>
  <conditionalFormatting sqref="O54">
    <cfRule type="cellIs" dxfId="800" priority="31" operator="greaterThan">
      <formula>0</formula>
    </cfRule>
  </conditionalFormatting>
  <conditionalFormatting sqref="P54">
    <cfRule type="cellIs" dxfId="799" priority="34" operator="lessThan">
      <formula>0</formula>
    </cfRule>
  </conditionalFormatting>
  <conditionalFormatting sqref="Q54">
    <cfRule type="cellIs" dxfId="798" priority="32" operator="greaterThan">
      <formula>1</formula>
    </cfRule>
    <cfRule type="cellIs" dxfId="797" priority="33" operator="lessThan">
      <formula>0.8</formula>
    </cfRule>
  </conditionalFormatting>
  <conditionalFormatting sqref="R54 AG54">
    <cfRule type="cellIs" dxfId="796" priority="35" operator="lessThan">
      <formula>0.8</formula>
    </cfRule>
  </conditionalFormatting>
  <conditionalFormatting sqref="O58">
    <cfRule type="cellIs" dxfId="795" priority="26" operator="greaterThan">
      <formula>0</formula>
    </cfRule>
  </conditionalFormatting>
  <conditionalFormatting sqref="P58 AE58">
    <cfRule type="cellIs" dxfId="794" priority="29" operator="lessThan">
      <formula>0</formula>
    </cfRule>
  </conditionalFormatting>
  <conditionalFormatting sqref="Q58 AF58">
    <cfRule type="cellIs" dxfId="793" priority="27" operator="greaterThan">
      <formula>1</formula>
    </cfRule>
    <cfRule type="cellIs" dxfId="792" priority="28" operator="lessThan">
      <formula>0.8</formula>
    </cfRule>
  </conditionalFormatting>
  <conditionalFormatting sqref="R58 AG58">
    <cfRule type="cellIs" dxfId="791" priority="30" operator="lessThan">
      <formula>0.8</formula>
    </cfRule>
  </conditionalFormatting>
  <conditionalFormatting sqref="O18:O19">
    <cfRule type="cellIs" dxfId="790" priority="21" operator="greaterThan">
      <formula>0</formula>
    </cfRule>
  </conditionalFormatting>
  <conditionalFormatting sqref="P18:P19">
    <cfRule type="cellIs" dxfId="789" priority="24" operator="lessThan">
      <formula>0</formula>
    </cfRule>
  </conditionalFormatting>
  <conditionalFormatting sqref="Q18:Q19">
    <cfRule type="cellIs" dxfId="788" priority="22" operator="greaterThan">
      <formula>1</formula>
    </cfRule>
    <cfRule type="cellIs" dxfId="787" priority="23" operator="lessThan">
      <formula>0.8</formula>
    </cfRule>
  </conditionalFormatting>
  <conditionalFormatting sqref="R18:R19 AG18:AG19">
    <cfRule type="cellIs" dxfId="786" priority="25" operator="lessThan">
      <formula>0.8</formula>
    </cfRule>
  </conditionalFormatting>
  <conditionalFormatting sqref="R28 AG28">
    <cfRule type="cellIs" dxfId="785" priority="20" operator="lessThan">
      <formula>0.8</formula>
    </cfRule>
  </conditionalFormatting>
  <conditionalFormatting sqref="AG28">
    <cfRule type="cellIs" dxfId="784" priority="19" operator="lessThan">
      <formula>0.8</formula>
    </cfRule>
  </conditionalFormatting>
  <conditionalFormatting sqref="O57">
    <cfRule type="cellIs" dxfId="783" priority="14" operator="greaterThan">
      <formula>0</formula>
    </cfRule>
  </conditionalFormatting>
  <conditionalFormatting sqref="P57 AE57">
    <cfRule type="cellIs" dxfId="782" priority="17" operator="lessThan">
      <formula>0</formula>
    </cfRule>
  </conditionalFormatting>
  <conditionalFormatting sqref="Q57 AF57">
    <cfRule type="cellIs" dxfId="781" priority="15" operator="greaterThan">
      <formula>1</formula>
    </cfRule>
    <cfRule type="cellIs" dxfId="780" priority="16" operator="lessThan">
      <formula>0.8</formula>
    </cfRule>
  </conditionalFormatting>
  <conditionalFormatting sqref="R57 AG57">
    <cfRule type="cellIs" dxfId="779" priority="18" operator="lessThan">
      <formula>0.8</formula>
    </cfRule>
  </conditionalFormatting>
  <conditionalFormatting sqref="O20">
    <cfRule type="cellIs" dxfId="778" priority="9" operator="greaterThan">
      <formula>0</formula>
    </cfRule>
  </conditionalFormatting>
  <conditionalFormatting sqref="P20">
    <cfRule type="cellIs" dxfId="777" priority="12" operator="lessThan">
      <formula>0</formula>
    </cfRule>
  </conditionalFormatting>
  <conditionalFormatting sqref="Q20">
    <cfRule type="cellIs" dxfId="776" priority="10" operator="greaterThan">
      <formula>1</formula>
    </cfRule>
    <cfRule type="cellIs" dxfId="775" priority="11" operator="lessThan">
      <formula>0.8</formula>
    </cfRule>
  </conditionalFormatting>
  <conditionalFormatting sqref="AG20 R20">
    <cfRule type="cellIs" dxfId="774" priority="13" operator="lessThan">
      <formula>0.8</formula>
    </cfRule>
  </conditionalFormatting>
  <conditionalFormatting sqref="P8">
    <cfRule type="cellIs" dxfId="773" priority="8" operator="lessThan">
      <formula>0</formula>
    </cfRule>
  </conditionalFormatting>
  <conditionalFormatting sqref="P21">
    <cfRule type="cellIs" dxfId="772" priority="7" operator="lessThan">
      <formula>0</formula>
    </cfRule>
  </conditionalFormatting>
  <conditionalFormatting sqref="P29">
    <cfRule type="cellIs" dxfId="771" priority="6" operator="lessThan">
      <formula>0</formula>
    </cfRule>
  </conditionalFormatting>
  <conditionalFormatting sqref="P35">
    <cfRule type="cellIs" dxfId="770" priority="5" operator="lessThan">
      <formula>0</formula>
    </cfRule>
  </conditionalFormatting>
  <conditionalFormatting sqref="P47">
    <cfRule type="cellIs" dxfId="769" priority="4" operator="lessThan">
      <formula>0</formula>
    </cfRule>
  </conditionalFormatting>
  <conditionalFormatting sqref="P55">
    <cfRule type="cellIs" dxfId="768" priority="3" operator="lessThan">
      <formula>0</formula>
    </cfRule>
  </conditionalFormatting>
  <conditionalFormatting sqref="P61">
    <cfRule type="cellIs" dxfId="767" priority="2" operator="lessThan">
      <formula>0</formula>
    </cfRule>
  </conditionalFormatting>
  <conditionalFormatting sqref="P67">
    <cfRule type="cellIs" dxfId="766" priority="1" operator="lessThan">
      <formula>0</formula>
    </cfRule>
  </conditionalFormatting>
  <dataValidations count="1">
    <dataValidation type="list" allowBlank="1" showInputMessage="1" showErrorMessage="1" sqref="AB8 AA5:AB7 AB60 AA8:AA60 AB10:AB56 AA61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B10" sqref="B10:J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1050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1051</v>
      </c>
      <c r="C3" s="601" t="str">
        <f>TEXT('0611 4度C'!A2,"yyyy.mm.ddaaaa")</f>
        <v>2026.06.11星期四</v>
      </c>
      <c r="D3" s="602"/>
      <c r="E3" s="39" t="s">
        <v>1052</v>
      </c>
      <c r="F3" s="603">
        <f>'0611 4度C'!D1</f>
        <v>182906</v>
      </c>
      <c r="G3" s="604"/>
      <c r="H3" s="39" t="s">
        <v>1053</v>
      </c>
      <c r="I3" s="605">
        <f>'0611 4度C'!F1</f>
        <v>6286832.169999999</v>
      </c>
      <c r="J3" s="606"/>
      <c r="K3" s="40"/>
      <c r="L3" s="41"/>
      <c r="M3" s="42"/>
      <c r="N3" s="42"/>
    </row>
    <row r="4" spans="2:17" ht="28.5" customHeight="1">
      <c r="B4" s="607" t="s">
        <v>1054</v>
      </c>
      <c r="C4" s="593" t="s">
        <v>1055</v>
      </c>
      <c r="D4" s="594"/>
      <c r="E4" s="610" t="s">
        <v>1056</v>
      </c>
      <c r="F4" s="611"/>
      <c r="G4" s="610" t="s">
        <v>1057</v>
      </c>
      <c r="H4" s="611"/>
      <c r="I4" s="610" t="s">
        <v>1058</v>
      </c>
      <c r="J4" s="611"/>
      <c r="K4" s="591" t="s">
        <v>1059</v>
      </c>
      <c r="L4" s="592"/>
      <c r="M4" s="592" t="s">
        <v>1060</v>
      </c>
      <c r="N4" s="592"/>
    </row>
    <row r="5" spans="2:17" ht="28.5" customHeight="1">
      <c r="B5" s="608"/>
      <c r="C5" s="593" t="s">
        <v>1061</v>
      </c>
      <c r="D5" s="594"/>
      <c r="E5" s="593" t="s">
        <v>1062</v>
      </c>
      <c r="F5" s="594"/>
      <c r="G5" s="595" t="s">
        <v>1063</v>
      </c>
      <c r="H5" s="596"/>
      <c r="I5" s="597" t="s">
        <v>1064</v>
      </c>
      <c r="J5" s="598"/>
      <c r="K5" s="43" t="s">
        <v>1065</v>
      </c>
      <c r="L5" s="44" t="s">
        <v>1066</v>
      </c>
      <c r="M5" s="43" t="s">
        <v>1067</v>
      </c>
      <c r="N5" s="44" t="s">
        <v>1068</v>
      </c>
    </row>
    <row r="6" spans="2:17" ht="28.5" customHeight="1">
      <c r="B6" s="608"/>
      <c r="C6" s="593" t="s">
        <v>58</v>
      </c>
      <c r="D6" s="594"/>
      <c r="E6" s="585">
        <f>AVERAGE(D13:M13)</f>
        <v>153.61175100800216</v>
      </c>
      <c r="F6" s="586">
        <f>AVERAGE(D31:O31,D13:J13)</f>
        <v>160.00335964781874</v>
      </c>
      <c r="G6" s="587">
        <f>AVERAGE(D13:J13)</f>
        <v>160.00335964781874</v>
      </c>
      <c r="H6" s="588"/>
      <c r="I6" s="587">
        <f>AVERAGE(K13:M13)</f>
        <v>138.69799751509689</v>
      </c>
      <c r="J6" s="588"/>
      <c r="K6" s="589">
        <f>'0611 4度C'!Y2</f>
        <v>0</v>
      </c>
      <c r="L6" s="574">
        <f>'0611 4度C'!Z2</f>
        <v>0</v>
      </c>
      <c r="M6" s="590">
        <f>'0611 4度C'!AC2</f>
        <v>61</v>
      </c>
      <c r="N6" s="574">
        <f>'0611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147.46865051029098</v>
      </c>
      <c r="F7" s="578">
        <f>AVERAGE(D32:O32,D14:J14)</f>
        <v>153.85977388610931</v>
      </c>
      <c r="G7" s="579">
        <f>AVERAGE(D14:J14)</f>
        <v>153.85977388610931</v>
      </c>
      <c r="H7" s="580"/>
      <c r="I7" s="579">
        <f>AVERAGE(K14:M14)</f>
        <v>132.55602930004818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0.95958961050826852</v>
      </c>
      <c r="F8" s="582">
        <f>AVERAGE(D15:J15,D33:O33)</f>
        <v>0.96124504570645186</v>
      </c>
      <c r="G8" s="583">
        <f>AVERAGE(D15:J15)</f>
        <v>0.96124504570645186</v>
      </c>
      <c r="H8" s="584"/>
      <c r="I8" s="583">
        <f>AVERAGE(K15:M15)</f>
        <v>0.95572692837917439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1069</v>
      </c>
      <c r="N9" s="42"/>
      <c r="O9" s="42"/>
      <c r="P9" s="42"/>
      <c r="Q9" s="42"/>
    </row>
    <row r="10" spans="2:17" ht="30" customHeight="1">
      <c r="B10" s="557" t="s">
        <v>1070</v>
      </c>
      <c r="C10" s="558"/>
      <c r="D10" s="559" t="s">
        <v>1071</v>
      </c>
      <c r="E10" s="560"/>
      <c r="F10" s="560"/>
      <c r="G10" s="560"/>
      <c r="H10" s="560"/>
      <c r="I10" s="560"/>
      <c r="J10" s="561"/>
      <c r="K10" s="562" t="s">
        <v>1072</v>
      </c>
      <c r="L10" s="563"/>
      <c r="M10" s="564"/>
      <c r="P10" s="48"/>
      <c r="Q10" s="48"/>
    </row>
    <row r="11" spans="2:17" ht="17.25" customHeight="1">
      <c r="B11" s="565" t="s">
        <v>1073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1074</v>
      </c>
      <c r="C13" s="55" t="s">
        <v>1075</v>
      </c>
      <c r="D13" s="56">
        <f>SUMIFS('0611 4度C'!$K:$K,'0611 4度C'!$A:$A,"新豐6線",'0611 4度C'!$B:$B,"平均")</f>
        <v>130.43478260869566</v>
      </c>
      <c r="E13" s="57">
        <f>SUMIFS('0611 4度C'!$K:$K,'0611 4度C'!$A:$A,"新豐2線",'0611 4度C'!$B:$B,"平均")</f>
        <v>86.956521739130437</v>
      </c>
      <c r="F13" s="58">
        <f>SUMIFS('0611 4度C'!$K:$K,'0611 4度C'!$A:$A,"新豐5線",'0611 4度C'!$B:$B,"平均")</f>
        <v>87.786259541984734</v>
      </c>
      <c r="G13" s="58">
        <f>SUMIFS('0611 4度C'!$K:$K,'0611 4度C'!$A:$A,"新豐7線",'0611 4度C'!$B:$B,"平均")</f>
        <v>131.35593220338984</v>
      </c>
      <c r="H13" s="58">
        <f>SUMIFS('0611 4度C'!$K:$K,'0611 4度C'!$A:$A,"新豐3線",'0611 4度C'!$B:$B,"平均")</f>
        <v>255.81395348837211</v>
      </c>
      <c r="I13" s="58">
        <f>SUMIFS('0611 4度C'!$K:$K,'0611 4度C'!$A:$A,"新豐1線",'0611 4度C'!$B:$B,"平均")</f>
        <v>108.52713178294574</v>
      </c>
      <c r="J13" s="59">
        <f>SUMIFS('0611 4度C'!$K:$K,'0611 4度C'!$A:$A,"新豐10線",'0611 4度C'!$B:$B,"平均")</f>
        <v>319.14893617021278</v>
      </c>
      <c r="K13" s="60">
        <f>SUMIFS('0611 4度C'!$K:$K,'0611 4度C'!$A:$A,"新豐8線",'0611 4度C'!$B:$B,"平均")</f>
        <v>137.14285714285714</v>
      </c>
      <c r="L13" s="61">
        <f>SUMIFS('0611 4度C'!$K:$K,'0611 4度C'!$A:$A,"新豐9線",'0611 4度C'!$B:$B,"平均")</f>
        <v>124.822695035461</v>
      </c>
      <c r="M13" s="59">
        <f>SUMIFS('0611 4度C'!$K:$K,'0611 4度C'!$A:$A,"新豐4線",'0611 4度C'!$B:$B,"平均")</f>
        <v>154.12844036697248</v>
      </c>
    </row>
    <row r="14" spans="2:17" ht="39.6" customHeight="1">
      <c r="B14" s="570"/>
      <c r="C14" s="62" t="s">
        <v>1076</v>
      </c>
      <c r="D14" s="63">
        <f>SUMIFS('0611 4度C'!$N:$N,'0611 4度C'!$A:$A,"新豐6線",'0611 4度C'!$B:$B,"平均")</f>
        <v>125.81195382457661</v>
      </c>
      <c r="E14" s="64">
        <f>SUMIFS('0611 4度C'!$N:$N,'0611 4度C'!$A:$A,"新豐2線",'0611 4度C'!$B:$B,"平均")</f>
        <v>83.187485009397463</v>
      </c>
      <c r="F14" s="64">
        <f>SUMIFS('0611 4度C'!$N:$N,'0611 4度C'!$A:$A,"新豐5線",'0611 4度C'!$B:$B,"平均")</f>
        <v>84.374933726846436</v>
      </c>
      <c r="G14" s="64">
        <f>SUMIFS('0611 4度C'!$N:$N,'0611 4度C'!$A:$A,"新豐7線",'0611 4度C'!$B:$B,"平均")</f>
        <v>126.25540687237175</v>
      </c>
      <c r="H14" s="64">
        <f>SUMIFS('0611 4度C'!$N:$N,'0611 4度C'!$A:$A,"新豐3線",'0611 4度C'!$B:$B,"平均")</f>
        <v>246.04757633637038</v>
      </c>
      <c r="I14" s="64">
        <f>SUMIFS('0611 4度C'!$N:$N,'0611 4度C'!$A:$A,"新豐1線",'0611 4度C'!$B:$B,"平均")</f>
        <v>104.34207394673874</v>
      </c>
      <c r="J14" s="65">
        <f>SUMIFS('0611 4度C'!$N:$N,'0611 4度C'!$A:$A,"新豐10線",'0611 4度C'!$B:$B,"平均")</f>
        <v>306.99898748646399</v>
      </c>
      <c r="K14" s="66">
        <f>SUMIFS('0611 4度C'!$N:$N,'0611 4度C'!$A:$A,"新豐8線",'0611 4度C'!$B:$B,"平均")</f>
        <v>130.97442994074777</v>
      </c>
      <c r="L14" s="67">
        <f>SUMIFS('0611 4度C'!$N:$N,'0611 4度C'!$A:$A,"新豐9線",'0611 4度C'!$B:$B,"平均")</f>
        <v>119.365075861243</v>
      </c>
      <c r="M14" s="65">
        <f>SUMIFS('0611 4度C'!$N:$N,'0611 4度C'!$A:$A,"新豐4線",'0611 4度C'!$B:$B,"平均")</f>
        <v>147.32858209815379</v>
      </c>
    </row>
    <row r="15" spans="2:17" ht="40.15" customHeight="1">
      <c r="B15" s="571"/>
      <c r="C15" s="68" t="s">
        <v>1077</v>
      </c>
      <c r="D15" s="69">
        <f t="shared" ref="D15:M15" si="0">D14/D13</f>
        <v>0.96455831265508729</v>
      </c>
      <c r="E15" s="70">
        <f t="shared" si="0"/>
        <v>0.95665607760807081</v>
      </c>
      <c r="F15" s="70">
        <f t="shared" si="0"/>
        <v>0.96114054941016369</v>
      </c>
      <c r="G15" s="70">
        <f t="shared" si="0"/>
        <v>0.96117019425418482</v>
      </c>
      <c r="H15" s="70">
        <f t="shared" si="0"/>
        <v>0.96182234386035692</v>
      </c>
      <c r="I15" s="70">
        <f t="shared" si="0"/>
        <v>0.96143768136637831</v>
      </c>
      <c r="J15" s="71">
        <f t="shared" si="0"/>
        <v>0.96193016079092042</v>
      </c>
      <c r="K15" s="69">
        <f t="shared" si="0"/>
        <v>0.95502188498461915</v>
      </c>
      <c r="L15" s="70">
        <f t="shared" si="0"/>
        <v>0.95627702820654903</v>
      </c>
      <c r="M15" s="71">
        <f t="shared" si="0"/>
        <v>0.95588187194635488</v>
      </c>
    </row>
    <row r="16" spans="2:17" ht="17.25" customHeight="1">
      <c r="B16" s="572" t="s">
        <v>1078</v>
      </c>
      <c r="C16" s="72" t="s">
        <v>1079</v>
      </c>
      <c r="D16" s="73">
        <f>VLOOKUP("新豐6線",'0611 4度C'!$A:$T,19,0)</f>
        <v>0.70833333333333337</v>
      </c>
      <c r="E16" s="74">
        <f>VLOOKUP("新豐2線",'0611 4度C'!$A:$T,19,0)</f>
        <v>8.3333333333333329E-2</v>
      </c>
      <c r="F16" s="74">
        <f>VLOOKUP("新豐5線",'0611 4度C'!$A:$T,19,0)</f>
        <v>8.3333333333333329E-2</v>
      </c>
      <c r="G16" s="74">
        <f>VLOOKUP("新豐7線",'0611 4度C'!$A:$T,19,0)</f>
        <v>0.20833333333333334</v>
      </c>
      <c r="H16" s="74">
        <f>VLOOKUP("新豐3線",'0611 4度C'!$A:$T,19,0)</f>
        <v>8.3333333333333329E-2</v>
      </c>
      <c r="I16" s="74">
        <f>VLOOKUP("新豐1線",'0611 4度C'!$A:$T,19,0)</f>
        <v>0.16666666666666666</v>
      </c>
      <c r="J16" s="75">
        <f>VLOOKUP("新豐10線",'0611 4度C'!$A:$T,19,0)</f>
        <v>0.20833333333333334</v>
      </c>
      <c r="K16" s="76">
        <f>VLOOKUP("新豐8線",'0611 4度C'!$A:$T,19,0)</f>
        <v>8.3333333333333329E-2</v>
      </c>
      <c r="L16" s="77">
        <f>VLOOKUP("新豐9線",'0611 4度C'!$A:$T,19,0)</f>
        <v>8.3333333333333329E-2</v>
      </c>
      <c r="M16" s="78">
        <f>VLOOKUP("新豐4線",'0611 4度C'!$A:$T,19,0)</f>
        <v>8.3333333333333329E-2</v>
      </c>
    </row>
    <row r="17" spans="2:13" ht="17.25" customHeight="1">
      <c r="B17" s="573"/>
      <c r="C17" s="72" t="s">
        <v>1080</v>
      </c>
      <c r="D17" s="76">
        <f>LOOKUP(2,1/(('0611 4度C'!$A:$A="新豐6線")*('0611 4度C'!$T:$T&lt;&gt;"")),'0611 4度C'!$T:$T)</f>
        <v>0.83263888888888882</v>
      </c>
      <c r="E17" s="74">
        <f>LOOKUP(2,1/(('0611 4度C'!$A:$A="新豐2線")*('0611 4度C'!$T:$T&lt;&gt;"")),'0611 4度C'!$T:$T)</f>
        <v>0.60069444444444442</v>
      </c>
      <c r="F17" s="74">
        <f>LOOKUP(2,1/(('0611 4度C'!$A:$A="新豐5線")*('0611 4度C'!$T:$T&lt;&gt;"")),'0611 4度C'!$T:$T)</f>
        <v>0.79652777777777783</v>
      </c>
      <c r="G17" s="74">
        <f>LOOKUP(2,1/(('0611 4度C'!$A:$A="新豐7線")*('0611 4度C'!$T:$T&lt;&gt;"")),'0611 4度C'!$T:$T)</f>
        <v>0.89166666666666661</v>
      </c>
      <c r="H17" s="74">
        <f>LOOKUP(2,1/(('0611 4度C'!$A:$A="新豐3線")*('0611 4度C'!$T:$T&lt;&gt;"")),'0611 4度C'!$T:$T)</f>
        <v>0.37361111111111112</v>
      </c>
      <c r="I17" s="74">
        <f>LOOKUP(2,1/(('0611 4度C'!$A:$A="新豐1線")*('0611 4度C'!$T:$T&lt;&gt;"")),'0611 4度C'!$T:$T)</f>
        <v>0.81666666666666676</v>
      </c>
      <c r="J17" s="75">
        <f>LOOKUP(2,1/(('0611 4度C'!$A:$A="新豐10線")*('0611 4度C'!$T:$T&lt;&gt;"")),'0611 4度C'!$T:$T)</f>
        <v>0.39930555555555547</v>
      </c>
      <c r="K17" s="73">
        <f>LOOKUP(2,1/(('0611 4度C'!$A:$A="新豐8線")*('0611 4度C'!$T:$T&lt;&gt;"")),'0611 4度C'!$T:$T)</f>
        <v>0.69027777777777777</v>
      </c>
      <c r="L17" s="74">
        <f>LOOKUP(2,1/(('0611 4度C'!$A:$A="新豐9線")*('0611 4度C'!$T:$T&lt;&gt;"")),'0611 4度C'!$T:$T)</f>
        <v>0.70416666666666639</v>
      </c>
      <c r="M17" s="75">
        <f>LOOKUP(2,1/(('0611 4度C'!$A:$A="新豐4線")*('0611 4度C'!$T:$T&lt;&gt;"")),'0611 4度C'!$T:$T)</f>
        <v>0.67847222222222214</v>
      </c>
    </row>
    <row r="18" spans="2:13" ht="17.25" customHeight="1">
      <c r="B18" s="551" t="s">
        <v>1081</v>
      </c>
      <c r="C18" s="79" t="s">
        <v>1082</v>
      </c>
      <c r="D18" s="80">
        <f>SUMIFS('0611 4度C'!$Y:$Y,'0611 4度C'!$A:$A,"新豐6線",'0611 4度C'!$B:$B,"平均")</f>
        <v>0</v>
      </c>
      <c r="E18" s="81">
        <f>SUMIFS('0611 4度C'!$Y:$Y,'0611 4度C'!$A:$A,"新豐2線",'0611 4度C'!$B:$B,"平均")</f>
        <v>0</v>
      </c>
      <c r="F18" s="81">
        <f>SUMIFS('0611 4度C'!$Y:$Y,'0611 4度C'!$A:$A,"新豐5線",'0611 4度C'!$B:$B,"平均")</f>
        <v>0</v>
      </c>
      <c r="G18" s="81">
        <f>SUMIFS('0611 4度C'!$Y:$Y,'0611 4度C'!$A:$A,"新豐7線",'0611 4度C'!$B:$B,"平均")</f>
        <v>0</v>
      </c>
      <c r="H18" s="81">
        <f>SUMIFS('0611 4度C'!$Y:$Y,'0611 4度C'!$A:$A,"新豐3線",'0611 4度C'!$B:$B,"平均")</f>
        <v>0</v>
      </c>
      <c r="I18" s="81">
        <f>SUMIFS('0611 4度C'!$Y:$Y,'0611 4度C'!$A:$A,"新豐1線",'0611 4度C'!$B:$B,"平均")</f>
        <v>0</v>
      </c>
      <c r="J18" s="82">
        <f>SUMIFS('0611 4度C'!$Y:$Y,'0611 4度C'!$A:$A,"新豐10線",'0611 4度C'!$B:$B,"平均")</f>
        <v>0</v>
      </c>
      <c r="K18" s="83">
        <f>SUMIFS('0611 4度C'!$Y:$Y,'0611 4度C'!$A:$A,"新豐8線",'0611 4度C'!$B:$B,"平均")</f>
        <v>0</v>
      </c>
      <c r="L18" s="81">
        <f>SUMIFS('0611 4度C'!$Y:$Y,'0611 4度C'!$A:$A,"新豐9線",'0611 4度C'!$B:$B,"平均")</f>
        <v>0</v>
      </c>
      <c r="M18" s="82">
        <f>SUMIFS('0611 4度C'!$Y:$Y,'0611 4度C'!$A:$A,"新豐4線",'0611 4度C'!$B:$B,"平均")</f>
        <v>0</v>
      </c>
    </row>
    <row r="19" spans="2:13" ht="17.25" customHeight="1">
      <c r="B19" s="552"/>
      <c r="C19" s="79" t="s">
        <v>1083</v>
      </c>
      <c r="D19" s="80">
        <f>SUMIFS('0611 4度C'!$Z:$Z,'0611 4度C'!$A:$A,"新豐6線",'0611 4度C'!$B:$B,"平均")</f>
        <v>0</v>
      </c>
      <c r="E19" s="81">
        <f>SUMIFS('0611 4度C'!$Z:$Z,'0611 4度C'!$A:$A,"新豐2線",'0611 4度C'!$B:$B,"平均")</f>
        <v>0</v>
      </c>
      <c r="F19" s="81">
        <f>SUMIFS('0611 4度C'!$Z:$Z,'0611 4度C'!$A:$A,"新豐5線",'0611 4度C'!$B:$B,"平均")</f>
        <v>0</v>
      </c>
      <c r="G19" s="81">
        <f>SUMIFS('0611 4度C'!$Z:$Z,'0611 4度C'!$A:$A,"新豐7線",'0611 4度C'!$B:$B,"平均")</f>
        <v>0</v>
      </c>
      <c r="H19" s="81">
        <f>SUMIFS('0611 4度C'!$Z:$Z,'0611 4度C'!$A:$A,"新豐3線",'0611 4度C'!$B:$B,"平均")</f>
        <v>0</v>
      </c>
      <c r="I19" s="81">
        <f>SUMIFS('0611 4度C'!$Z:$Z,'0611 4度C'!$A:$A,"新豐1線",'0611 4度C'!$B:$B,"平均")</f>
        <v>0</v>
      </c>
      <c r="J19" s="82">
        <f>SUMIFS('0611 4度C'!$Z:$Z,'0611 4度C'!$A:$A,"新豐10線",'0611 4度C'!$B:$B,"平均")</f>
        <v>0</v>
      </c>
      <c r="K19" s="83">
        <f>SUMIFS('0611 4度C'!$Z:$Z,'0611 4度C'!$A:$A,"新豐8線",'0611 4度C'!$B:$B,"平均")</f>
        <v>0</v>
      </c>
      <c r="L19" s="81">
        <f>SUMIFS('0611 4度C'!$Z:$Z,'0611 4度C'!$A:$A,"新豐9線",'0611 4度C'!$B:$B,"平均")</f>
        <v>0</v>
      </c>
      <c r="M19" s="82">
        <f>SUMIFS('0611 4度C'!$Z:$Z,'0611 4度C'!$A:$A,"新豐4線",'0611 4度C'!$B:$B,"平均")</f>
        <v>0</v>
      </c>
    </row>
    <row r="20" spans="2:13" ht="17.25" customHeight="1">
      <c r="B20" s="551" t="s">
        <v>1084</v>
      </c>
      <c r="C20" s="79" t="s">
        <v>1082</v>
      </c>
      <c r="D20" s="80">
        <f>SUMIFS('0611 4度C'!$AC:$AC,'0611 4度C'!$A:$A,"新豐6線",'0611 4度C'!$B:$B,"平均")</f>
        <v>3</v>
      </c>
      <c r="E20" s="81">
        <f>SUMIFS('0611 4度C'!$AC:$AC,'0611 4度C'!$A:$A,"新豐2線",'0611 4度C'!$B:$B,"平均")</f>
        <v>4</v>
      </c>
      <c r="F20" s="81">
        <f>SUMIFS('0611 4度C'!$AC:$AC,'0611 4度C'!$A:$A,"新豐5線",'0611 4度C'!$B:$B,"平均")</f>
        <v>7</v>
      </c>
      <c r="G20" s="81">
        <f>SUMIFS('0611 4度C'!$AC:$AC,'0611 4度C'!$A:$A,"新豐7線",'0611 4度C'!$B:$B,"平均")</f>
        <v>8</v>
      </c>
      <c r="H20" s="81">
        <f>SUMIFS('0611 4度C'!$AC:$AC,'0611 4度C'!$A:$A,"新豐3線",'0611 4度C'!$B:$B,"平均")</f>
        <v>4</v>
      </c>
      <c r="I20" s="81">
        <f>SUMIFS('0611 4度C'!$AC:$AC,'0611 4度C'!$A:$A,"新豐1線",'0611 4度C'!$B:$B,"平均")</f>
        <v>7</v>
      </c>
      <c r="J20" s="82">
        <f>SUMIFS('0611 4度C'!$AC:$AC,'0611 4度C'!$A:$A,"新豐10線",'0611 4度C'!$B:$B,"平均")</f>
        <v>5</v>
      </c>
      <c r="K20" s="83">
        <f>SUMIFS('0611 4度C'!$AC:$AC,'0611 4度C'!$A:$A,"新豐8線",'0611 4度C'!$B:$B,"平均")</f>
        <v>8</v>
      </c>
      <c r="L20" s="81">
        <f>SUMIFS('0611 4度C'!$AC:$AC,'0611 4度C'!$A:$A,"新豐9線",'0611 4度C'!$B:$B,"平均")</f>
        <v>8</v>
      </c>
      <c r="M20" s="82">
        <f>SUMIFS('0611 4度C'!$AC:$AC,'0611 4度C'!$A:$A,"新豐4線",'0611 4度C'!$B:$B,"平均")</f>
        <v>7</v>
      </c>
    </row>
    <row r="21" spans="2:13" ht="17.25" customHeight="1">
      <c r="B21" s="552"/>
      <c r="C21" s="79" t="s">
        <v>1085</v>
      </c>
      <c r="D21" s="80">
        <f>SUMIFS('0611 4度C'!$AD:$AD,'0611 4度C'!$A:$A,"新豐6線",'0611 4度C'!$B:$B,"平均")</f>
        <v>0</v>
      </c>
      <c r="E21" s="81">
        <f>SUMIFS('0611 4度C'!$AD:$AD,'0611 4度C'!$A:$A,"新豐2線",'0611 4度C'!$B:$B,"平均")</f>
        <v>0</v>
      </c>
      <c r="F21" s="81">
        <f>SUMIFS('0611 4度C'!$AD:$AD,'0611 4度C'!$A:$A,"新豐5線",'0611 4度C'!$B:$B,"平均")</f>
        <v>0</v>
      </c>
      <c r="G21" s="81">
        <f>SUMIFS('0611 4度C'!$AD:$AD,'0611 4度C'!$A:$A,"新豐7線",'0611 4度C'!$B:$B,"平均")</f>
        <v>0</v>
      </c>
      <c r="H21" s="81">
        <f>SUMIFS('0611 4度C'!$AD:$AD,'0611 4度C'!$A:$A,"新豐3線",'0611 4度C'!$B:$B,"平均")</f>
        <v>0</v>
      </c>
      <c r="I21" s="81">
        <f>SUMIFS('0611 4度C'!$AD:$AD,'0611 4度C'!$A:$A,"新豐1線",'0611 4度C'!$B:$B,"平均")</f>
        <v>0</v>
      </c>
      <c r="J21" s="82">
        <f>SUMIFS('0611 4度C'!$AD:$AD,'0611 4度C'!$A:$A,"新豐10線",'0611 4度C'!$B:$B,"平均")</f>
        <v>0</v>
      </c>
      <c r="K21" s="83">
        <f>SUMIFS('0611 4度C'!$AD:$AD,'0611 4度C'!$A:$A,"新豐8線",'0611 4度C'!$B:$B,"平均")</f>
        <v>0</v>
      </c>
      <c r="L21" s="81">
        <f>SUMIFS('0611 4度C'!$AD:$AD,'0611 4度C'!$A:$A,"新豐9線",'0611 4度C'!$B:$B,"平均")</f>
        <v>0</v>
      </c>
      <c r="M21" s="82">
        <f>SUMIFS('0611 4度C'!$AD:$AD,'0611 4度C'!$A:$A,"新豐4線",'0611 4度C'!$B:$B,"平均")</f>
        <v>0</v>
      </c>
    </row>
    <row r="22" spans="2:13" ht="17.25" customHeight="1">
      <c r="B22" s="553" t="s">
        <v>1086</v>
      </c>
      <c r="C22" s="554"/>
      <c r="D22" s="84">
        <f>SUMIFS('0611 4度C'!$I:$I,'0611 4度C'!$A:$A,"新豐6線",'0611 4度C'!$B:$B,"平均")</f>
        <v>15.333333333333334</v>
      </c>
      <c r="E22" s="85">
        <f>SUMIFS('0611 4度C'!$I:$I,'0611 4度C'!$A:$A,"新豐2線",'0611 4度C'!$B:$B,"平均")</f>
        <v>17.25</v>
      </c>
      <c r="F22" s="85">
        <f>SUMIFS('0611 4度C'!$I:$I,'0611 4度C'!$A:$A,"新豐5線",'0611 4度C'!$B:$B,"平均")</f>
        <v>18.714285714285715</v>
      </c>
      <c r="G22" s="85">
        <f>SUMIFS('0611 4度C'!$I:$I,'0611 4度C'!$A:$A,"新豐7線",'0611 4度C'!$B:$B,"平均")</f>
        <v>14.75</v>
      </c>
      <c r="H22" s="85">
        <f>SUMIFS('0611 4度C'!$I:$I,'0611 4度C'!$A:$A,"新豐3線",'0611 4度C'!$B:$B,"平均")</f>
        <v>10.75</v>
      </c>
      <c r="I22" s="85">
        <f>SUMIFS('0611 4度C'!$I:$I,'0611 4度C'!$A:$A,"新豐1線",'0611 4度C'!$B:$B,"平均")</f>
        <v>18.428571428571427</v>
      </c>
      <c r="J22" s="86">
        <f>SUMIFS('0611 4度C'!$I:$I,'0611 4度C'!$A:$A,"新豐10線",'0611 4度C'!$B:$B,"平均")</f>
        <v>9.4</v>
      </c>
      <c r="K22" s="84">
        <f>SUMIFS('0611 4度C'!$I:$I,'0611 4度C'!$A:$A,"新豐8線",'0611 4度C'!$B:$B,"平均")</f>
        <v>17.5</v>
      </c>
      <c r="L22" s="85">
        <f>SUMIFS('0611 4度C'!$I:$I,'0611 4度C'!$A:$A,"新豐9線",'0611 4度C'!$B:$B,"平均")</f>
        <v>17.625</v>
      </c>
      <c r="M22" s="86">
        <f>SUMIFS('0611 4度C'!$I:$I,'0611 4度C'!$A:$A,"新豐4線",'0611 4度C'!$B:$B,"平均")</f>
        <v>15.571428571428571</v>
      </c>
    </row>
    <row r="23" spans="2:13" ht="17.25" customHeight="1">
      <c r="B23" s="553" t="s">
        <v>1087</v>
      </c>
      <c r="C23" s="554"/>
      <c r="D23" s="87" t="s">
        <v>71</v>
      </c>
      <c r="E23" s="88" t="s">
        <v>72</v>
      </c>
      <c r="F23" s="88" t="s">
        <v>1088</v>
      </c>
      <c r="G23" s="88" t="s">
        <v>1088</v>
      </c>
      <c r="H23" s="88" t="s">
        <v>73</v>
      </c>
      <c r="I23" s="88" t="s">
        <v>71</v>
      </c>
      <c r="J23" s="89" t="s">
        <v>73</v>
      </c>
      <c r="K23" s="87" t="s">
        <v>124</v>
      </c>
      <c r="L23" s="88" t="s">
        <v>1089</v>
      </c>
      <c r="M23" s="89" t="s">
        <v>1089</v>
      </c>
    </row>
    <row r="24" spans="2:13" ht="17.25" customHeight="1">
      <c r="B24" s="553" t="s">
        <v>1090</v>
      </c>
      <c r="C24" s="554"/>
      <c r="D24" s="87"/>
      <c r="E24" s="88"/>
      <c r="F24" s="88" t="s">
        <v>1091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1092</v>
      </c>
      <c r="C25" s="556"/>
      <c r="D25" s="90"/>
      <c r="E25" s="91" t="s">
        <v>1093</v>
      </c>
      <c r="F25" s="549" t="s">
        <v>1094</v>
      </c>
      <c r="G25" s="550"/>
      <c r="H25" s="91" t="s">
        <v>1095</v>
      </c>
      <c r="I25" s="91" t="s">
        <v>1096</v>
      </c>
      <c r="J25" s="92" t="s">
        <v>1095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7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D10" sqref="D10:J10"/>
      <selection pane="bottomLeft" activeCell="H11" sqref="H11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1097</v>
      </c>
      <c r="B1" s="1"/>
      <c r="C1" s="2" t="s">
        <v>1098</v>
      </c>
      <c r="D1" s="3">
        <f>SUM(F5:F75)</f>
        <v>182906</v>
      </c>
      <c r="E1" s="255" t="s">
        <v>1099</v>
      </c>
      <c r="F1" s="1">
        <f>SUM(G5:G75)</f>
        <v>6286832.169999999</v>
      </c>
      <c r="G1" s="1" t="s">
        <v>1100</v>
      </c>
      <c r="H1" s="4">
        <f>L8+L13+L53+L61+L21+L67+L39+L48+L30+L75</f>
        <v>155.32261904761907</v>
      </c>
      <c r="I1" s="663" t="s">
        <v>1101</v>
      </c>
      <c r="J1" s="663"/>
      <c r="K1" s="663"/>
      <c r="L1" s="663" t="s">
        <v>1102</v>
      </c>
      <c r="M1" s="663"/>
      <c r="N1" s="663"/>
      <c r="O1" s="663" t="s">
        <v>1103</v>
      </c>
      <c r="P1" s="663"/>
      <c r="Q1" s="663"/>
      <c r="R1" s="663"/>
      <c r="S1" s="663" t="s">
        <v>139</v>
      </c>
      <c r="T1" s="663"/>
      <c r="U1" s="663"/>
      <c r="V1" s="663"/>
      <c r="W1" s="663"/>
      <c r="X1" s="663"/>
      <c r="Y1" s="5" t="s">
        <v>1104</v>
      </c>
      <c r="Z1" s="6" t="s">
        <v>141</v>
      </c>
      <c r="AA1" s="664" t="s">
        <v>1105</v>
      </c>
      <c r="AB1" s="664"/>
      <c r="AC1" s="188" t="s">
        <v>1104</v>
      </c>
      <c r="AD1" s="6" t="s">
        <v>1106</v>
      </c>
      <c r="AE1" s="663" t="s">
        <v>144</v>
      </c>
      <c r="AF1" s="665"/>
      <c r="AG1" s="665"/>
    </row>
    <row r="2" spans="1:33" ht="26.25" customHeight="1">
      <c r="A2" s="27">
        <v>46184</v>
      </c>
      <c r="B2" s="28" t="s">
        <v>418</v>
      </c>
      <c r="C2" s="2" t="s">
        <v>109</v>
      </c>
      <c r="D2" s="8">
        <f>AVERAGE(N8,N13,N53,N61,N21,N67,N30,N39,N48,N75)</f>
        <v>147.46865051029098</v>
      </c>
      <c r="E2" s="9" t="s">
        <v>0</v>
      </c>
      <c r="F2" s="10">
        <f>F1/D1</f>
        <v>34.371929679726193</v>
      </c>
      <c r="G2" s="1" t="s">
        <v>1107</v>
      </c>
      <c r="H2" s="262">
        <f>COUNT(H5:H75)</f>
        <v>10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SUM(Y8+Y13+Y21+Y30+Y39+Y48+Y53+Y61+Y67+Y75)</f>
        <v>0</v>
      </c>
      <c r="Z2" s="11">
        <f>SUM(Z8+Z13+Z21+Z30+Z39+Z48+Z53+Z61+Z67+Z75)</f>
        <v>0</v>
      </c>
      <c r="AA2" s="664"/>
      <c r="AB2" s="664"/>
      <c r="AC2" s="11">
        <f>SUM(AC8+AC13+AC21+AC30+AC39+AC48+AC53+AC61+AC67+AC75)</f>
        <v>61</v>
      </c>
      <c r="AD2" s="11">
        <f>SUM(AD8+AD13+AD21+AD30+AD39+AD48+AD53+AD61+AD67+AD75)</f>
        <v>0</v>
      </c>
      <c r="AE2" s="665"/>
      <c r="AF2" s="665"/>
      <c r="AG2" s="665"/>
    </row>
    <row r="3" spans="1:33" ht="40.5" customHeight="1">
      <c r="A3" s="617" t="s">
        <v>1108</v>
      </c>
      <c r="B3" s="617" t="s">
        <v>1109</v>
      </c>
      <c r="C3" s="617" t="s">
        <v>1110</v>
      </c>
      <c r="D3" s="617"/>
      <c r="E3" s="661" t="s">
        <v>1111</v>
      </c>
      <c r="F3" s="617" t="s">
        <v>1112</v>
      </c>
      <c r="G3" s="661" t="s">
        <v>1113</v>
      </c>
      <c r="H3" s="654" t="s">
        <v>1114</v>
      </c>
      <c r="I3" s="652" t="s">
        <v>1115</v>
      </c>
      <c r="J3" s="649" t="s">
        <v>1116</v>
      </c>
      <c r="K3" s="659" t="s">
        <v>1117</v>
      </c>
      <c r="L3" s="652" t="s">
        <v>154</v>
      </c>
      <c r="M3" s="649" t="s">
        <v>1116</v>
      </c>
      <c r="N3" s="659" t="s">
        <v>1117</v>
      </c>
      <c r="O3" s="652" t="s">
        <v>1115</v>
      </c>
      <c r="P3" s="659" t="s">
        <v>109</v>
      </c>
      <c r="Q3" s="650" t="s">
        <v>1118</v>
      </c>
      <c r="R3" s="630" t="s">
        <v>1119</v>
      </c>
      <c r="S3" s="617" t="s">
        <v>1</v>
      </c>
      <c r="T3" s="617"/>
      <c r="U3" s="654" t="s">
        <v>2</v>
      </c>
      <c r="V3" s="654" t="s">
        <v>1120</v>
      </c>
      <c r="W3" s="617" t="s">
        <v>1121</v>
      </c>
      <c r="X3" s="617"/>
      <c r="Y3" s="655" t="s">
        <v>1122</v>
      </c>
      <c r="Z3" s="614"/>
      <c r="AA3" s="656" t="s">
        <v>1123</v>
      </c>
      <c r="AB3" s="657"/>
      <c r="AC3" s="655" t="s">
        <v>1124</v>
      </c>
      <c r="AD3" s="614"/>
      <c r="AE3" s="649" t="s">
        <v>1125</v>
      </c>
      <c r="AF3" s="650" t="s">
        <v>1118</v>
      </c>
      <c r="AG3" s="630" t="s">
        <v>1126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255" t="s">
        <v>3</v>
      </c>
      <c r="T4" s="255" t="s">
        <v>4</v>
      </c>
      <c r="U4" s="654"/>
      <c r="V4" s="654"/>
      <c r="W4" s="255" t="s">
        <v>1127</v>
      </c>
      <c r="X4" s="255" t="s">
        <v>1128</v>
      </c>
      <c r="Y4" s="254" t="s">
        <v>1129</v>
      </c>
      <c r="Z4" s="254" t="s">
        <v>1130</v>
      </c>
      <c r="AA4" s="658"/>
      <c r="AB4" s="657"/>
      <c r="AC4" s="254" t="s">
        <v>1131</v>
      </c>
      <c r="AD4" s="254" t="s">
        <v>1132</v>
      </c>
      <c r="AE4" s="649"/>
      <c r="AF4" s="650"/>
      <c r="AG4" s="630"/>
    </row>
    <row r="5" spans="1:33">
      <c r="A5" s="651" t="s">
        <v>1133</v>
      </c>
      <c r="B5" s="29" t="s">
        <v>15</v>
      </c>
      <c r="C5" s="653" t="s">
        <v>17</v>
      </c>
      <c r="D5" s="653"/>
      <c r="E5" s="29">
        <v>50.67</v>
      </c>
      <c r="F5" s="263">
        <v>1254</v>
      </c>
      <c r="G5" s="255">
        <f t="shared" ref="G5:G7" si="0">E5*F5</f>
        <v>63540.18</v>
      </c>
      <c r="H5" s="33" t="s">
        <v>57</v>
      </c>
      <c r="I5" s="260">
        <v>15</v>
      </c>
      <c r="J5" s="31">
        <v>2000</v>
      </c>
      <c r="K5" s="12">
        <f t="shared" ref="K5:K68" si="1">J5/I5</f>
        <v>133.33333333333334</v>
      </c>
      <c r="L5" s="260">
        <v>15</v>
      </c>
      <c r="M5" s="13">
        <f t="shared" ref="M5:M7" si="2">F5/V5*60</f>
        <v>1929.2307692307684</v>
      </c>
      <c r="N5" s="12">
        <f t="shared" ref="N5:N68" si="3">M5/L5</f>
        <v>128.61538461538456</v>
      </c>
      <c r="O5" s="14">
        <f t="shared" ref="O5:O68" si="4">L5-I5</f>
        <v>0</v>
      </c>
      <c r="P5" s="15">
        <f t="shared" ref="P5:P68" si="5">N5-K5</f>
        <v>-4.7179487179487865</v>
      </c>
      <c r="Q5" s="256">
        <f t="shared" ref="Q5:Q68" si="6">N5/K5</f>
        <v>0.9646153846153841</v>
      </c>
      <c r="R5" s="615">
        <f>Q8</f>
        <v>0.96455831265508729</v>
      </c>
      <c r="S5" s="34">
        <v>0.70833333333333337</v>
      </c>
      <c r="T5" s="34">
        <v>0.73541666666666672</v>
      </c>
      <c r="U5" s="255"/>
      <c r="V5" s="261">
        <f t="shared" ref="V5:V7" si="7">(T5-S5)*24*60</f>
        <v>39.000000000000021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60" si="8">M5-J5</f>
        <v>-70.769230769231626</v>
      </c>
      <c r="AF5" s="256">
        <f t="shared" ref="AF5:AF68" si="9">M5/J5</f>
        <v>0.96461538461538421</v>
      </c>
      <c r="AG5" s="615">
        <f>AF8</f>
        <v>0.96455831265508729</v>
      </c>
    </row>
    <row r="6" spans="1:33">
      <c r="A6" s="652" t="s">
        <v>1134</v>
      </c>
      <c r="B6" s="29" t="s">
        <v>15</v>
      </c>
      <c r="C6" s="653" t="s">
        <v>26</v>
      </c>
      <c r="D6" s="653"/>
      <c r="E6" s="29">
        <v>50.92</v>
      </c>
      <c r="F6" s="263">
        <v>1997</v>
      </c>
      <c r="G6" s="255">
        <f t="shared" si="0"/>
        <v>101687.24</v>
      </c>
      <c r="H6" s="33" t="s">
        <v>57</v>
      </c>
      <c r="I6" s="260">
        <v>15</v>
      </c>
      <c r="J6" s="31">
        <v>2000</v>
      </c>
      <c r="K6" s="12">
        <f t="shared" si="1"/>
        <v>133.33333333333334</v>
      </c>
      <c r="L6" s="260">
        <v>15</v>
      </c>
      <c r="M6" s="13">
        <f t="shared" si="2"/>
        <v>1932.5806451612921</v>
      </c>
      <c r="N6" s="12">
        <f t="shared" si="3"/>
        <v>128.83870967741947</v>
      </c>
      <c r="O6" s="14">
        <f t="shared" si="4"/>
        <v>0</v>
      </c>
      <c r="P6" s="15">
        <f t="shared" si="5"/>
        <v>-4.4946236559138697</v>
      </c>
      <c r="Q6" s="256">
        <f t="shared" si="6"/>
        <v>0.96629032258064596</v>
      </c>
      <c r="R6" s="615"/>
      <c r="S6" s="34">
        <v>0.73888888888888893</v>
      </c>
      <c r="T6" s="34">
        <v>0.78194444444444444</v>
      </c>
      <c r="U6" s="255">
        <f t="shared" ref="U6:U7" si="10">IF(S6=TIME(17,0,0),"",(S6-T5)*24*60)</f>
        <v>4.9999999999999822</v>
      </c>
      <c r="V6" s="261">
        <f t="shared" si="7"/>
        <v>61.999999999999943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-67.419354838707932</v>
      </c>
      <c r="AF6" s="256">
        <f t="shared" si="9"/>
        <v>0.96629032258064607</v>
      </c>
      <c r="AG6" s="615"/>
    </row>
    <row r="7" spans="1:33">
      <c r="A7" s="652" t="s">
        <v>5</v>
      </c>
      <c r="B7" s="29" t="s">
        <v>15</v>
      </c>
      <c r="C7" s="644" t="s">
        <v>31</v>
      </c>
      <c r="D7" s="645"/>
      <c r="E7" s="29">
        <v>50.98</v>
      </c>
      <c r="F7" s="263">
        <v>2086</v>
      </c>
      <c r="G7" s="255">
        <f t="shared" si="0"/>
        <v>106344.28</v>
      </c>
      <c r="H7" s="33" t="s">
        <v>57</v>
      </c>
      <c r="I7" s="260">
        <v>16</v>
      </c>
      <c r="J7" s="31">
        <v>2000</v>
      </c>
      <c r="K7" s="12">
        <f t="shared" si="1"/>
        <v>125</v>
      </c>
      <c r="L7" s="260">
        <v>16</v>
      </c>
      <c r="M7" s="13">
        <f t="shared" si="2"/>
        <v>1925.5384615384637</v>
      </c>
      <c r="N7" s="12">
        <f t="shared" si="3"/>
        <v>120.34615384615398</v>
      </c>
      <c r="O7" s="14">
        <f t="shared" si="4"/>
        <v>0</v>
      </c>
      <c r="P7" s="15">
        <f t="shared" si="5"/>
        <v>-4.6538461538460183</v>
      </c>
      <c r="Q7" s="256">
        <f t="shared" si="6"/>
        <v>0.96276923076923182</v>
      </c>
      <c r="R7" s="615"/>
      <c r="S7" s="34">
        <v>0.78749999999999998</v>
      </c>
      <c r="T7" s="34">
        <v>0.83263888888888882</v>
      </c>
      <c r="U7" s="255">
        <f t="shared" si="10"/>
        <v>7.9999999999999716</v>
      </c>
      <c r="V7" s="261">
        <f t="shared" si="7"/>
        <v>64.999999999999929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-74.461538461536293</v>
      </c>
      <c r="AF7" s="256">
        <f t="shared" si="9"/>
        <v>0.96276923076923182</v>
      </c>
      <c r="AG7" s="615"/>
    </row>
    <row r="8" spans="1:33">
      <c r="A8" s="652" t="s">
        <v>1133</v>
      </c>
      <c r="B8" s="29" t="s">
        <v>1135</v>
      </c>
      <c r="C8" s="618"/>
      <c r="D8" s="618"/>
      <c r="E8" s="257"/>
      <c r="F8" s="30"/>
      <c r="G8" s="12"/>
      <c r="H8" s="263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1929.1166253101746</v>
      </c>
      <c r="N8" s="12">
        <f t="shared" si="3"/>
        <v>125.81195382457661</v>
      </c>
      <c r="O8" s="14">
        <f t="shared" si="4"/>
        <v>0</v>
      </c>
      <c r="P8" s="15">
        <f t="shared" si="5"/>
        <v>-4.6228287841190507</v>
      </c>
      <c r="Q8" s="256">
        <f t="shared" si="6"/>
        <v>0.96455831265508729</v>
      </c>
      <c r="R8" s="615"/>
      <c r="S8" s="34"/>
      <c r="T8" s="34"/>
      <c r="U8" s="255"/>
      <c r="V8" s="261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-70.883374689825359</v>
      </c>
      <c r="AF8" s="256">
        <f t="shared" si="9"/>
        <v>0.96455831265508729</v>
      </c>
      <c r="AG8" s="615"/>
    </row>
    <row r="9" spans="1:33" ht="15.75" customHeight="1">
      <c r="A9" s="648" t="s">
        <v>1136</v>
      </c>
      <c r="B9" s="29" t="s">
        <v>19</v>
      </c>
      <c r="C9" s="644" t="s">
        <v>20</v>
      </c>
      <c r="D9" s="645"/>
      <c r="E9" s="29">
        <v>39.619999999999997</v>
      </c>
      <c r="F9" s="263">
        <v>4617</v>
      </c>
      <c r="G9" s="255">
        <f t="shared" ref="G9:G12" si="11">E9*F9</f>
        <v>182925.53999999998</v>
      </c>
      <c r="H9" s="33" t="s">
        <v>57</v>
      </c>
      <c r="I9" s="260">
        <v>19</v>
      </c>
      <c r="J9" s="31">
        <v>1500</v>
      </c>
      <c r="K9" s="12">
        <f t="shared" si="1"/>
        <v>78.94736842105263</v>
      </c>
      <c r="L9" s="260">
        <v>19</v>
      </c>
      <c r="M9" s="13">
        <f t="shared" ref="M9:M12" si="12">F9/V9*60</f>
        <v>1427.9381443298967</v>
      </c>
      <c r="N9" s="12">
        <f t="shared" si="3"/>
        <v>75.154639175257714</v>
      </c>
      <c r="O9" s="14">
        <f t="shared" si="4"/>
        <v>0</v>
      </c>
      <c r="P9" s="15">
        <f t="shared" si="5"/>
        <v>-3.7927292457949164</v>
      </c>
      <c r="Q9" s="256">
        <f t="shared" si="6"/>
        <v>0.95195876288659775</v>
      </c>
      <c r="R9" s="615">
        <f>Q13</f>
        <v>0.95665607760807081</v>
      </c>
      <c r="S9" s="34">
        <v>8.3333333333333329E-2</v>
      </c>
      <c r="T9" s="34">
        <v>0.21805555555555556</v>
      </c>
      <c r="U9" s="255"/>
      <c r="V9" s="261">
        <f t="shared" ref="V9:V12" si="13">(T9-S9)*24*60</f>
        <v>194.00000000000003</v>
      </c>
      <c r="W9" s="16">
        <f>T9</f>
        <v>0.21805555555555556</v>
      </c>
      <c r="X9" s="16">
        <f>S10</f>
        <v>0.23680555555555557</v>
      </c>
      <c r="Y9" s="16"/>
      <c r="Z9" s="16"/>
      <c r="AA9" s="617"/>
      <c r="AB9" s="617"/>
      <c r="AC9" s="35">
        <v>4</v>
      </c>
      <c r="AD9" s="18"/>
      <c r="AE9" s="14">
        <f t="shared" si="8"/>
        <v>-72.061855670103341</v>
      </c>
      <c r="AF9" s="256">
        <f t="shared" si="9"/>
        <v>0.95195876288659775</v>
      </c>
      <c r="AG9" s="615">
        <f>AF13</f>
        <v>0.95665607760807081</v>
      </c>
    </row>
    <row r="10" spans="1:33" ht="15.75" customHeight="1">
      <c r="A10" s="648" t="s">
        <v>1136</v>
      </c>
      <c r="B10" s="29" t="s">
        <v>19</v>
      </c>
      <c r="C10" s="644" t="s">
        <v>83</v>
      </c>
      <c r="D10" s="645"/>
      <c r="E10" s="29">
        <v>39.46</v>
      </c>
      <c r="F10" s="263">
        <v>4586</v>
      </c>
      <c r="G10" s="255">
        <f t="shared" si="11"/>
        <v>180963.56</v>
      </c>
      <c r="H10" s="33" t="s">
        <v>57</v>
      </c>
      <c r="I10" s="260">
        <v>16</v>
      </c>
      <c r="J10" s="31">
        <v>1500</v>
      </c>
      <c r="K10" s="12">
        <f t="shared" si="1"/>
        <v>93.75</v>
      </c>
      <c r="L10" s="260">
        <v>16</v>
      </c>
      <c r="M10" s="13">
        <f t="shared" si="12"/>
        <v>1433.125</v>
      </c>
      <c r="N10" s="12">
        <f t="shared" si="3"/>
        <v>89.5703125</v>
      </c>
      <c r="O10" s="14">
        <f t="shared" si="4"/>
        <v>0</v>
      </c>
      <c r="P10" s="15">
        <f t="shared" si="5"/>
        <v>-4.1796875</v>
      </c>
      <c r="Q10" s="256">
        <f t="shared" si="6"/>
        <v>0.95541666666666669</v>
      </c>
      <c r="R10" s="615"/>
      <c r="S10" s="34">
        <v>0.23680555555555557</v>
      </c>
      <c r="T10" s="34">
        <v>0.37013888888888891</v>
      </c>
      <c r="U10" s="255">
        <f t="shared" ref="U10:U12" si="14">IF(S10=TIME(17,0,0),"",(S10-T9)*24*60)</f>
        <v>27.000000000000025</v>
      </c>
      <c r="V10" s="261">
        <f t="shared" si="13"/>
        <v>192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-66.875</v>
      </c>
      <c r="AF10" s="256">
        <f t="shared" si="9"/>
        <v>0.95541666666666669</v>
      </c>
      <c r="AG10" s="615"/>
    </row>
    <row r="11" spans="1:33" ht="15.75" customHeight="1">
      <c r="A11" s="648" t="s">
        <v>1136</v>
      </c>
      <c r="B11" s="29" t="s">
        <v>19</v>
      </c>
      <c r="C11" s="644" t="s">
        <v>21</v>
      </c>
      <c r="D11" s="645"/>
      <c r="E11" s="29">
        <v>39.799999999999997</v>
      </c>
      <c r="F11" s="263">
        <v>4000</v>
      </c>
      <c r="G11" s="255">
        <f t="shared" si="11"/>
        <v>159200</v>
      </c>
      <c r="H11" s="33">
        <v>2</v>
      </c>
      <c r="I11" s="260">
        <v>17</v>
      </c>
      <c r="J11" s="31">
        <v>1500</v>
      </c>
      <c r="K11" s="12">
        <f t="shared" si="1"/>
        <v>88.235294117647058</v>
      </c>
      <c r="L11" s="260">
        <v>17</v>
      </c>
      <c r="M11" s="13">
        <f t="shared" si="12"/>
        <v>1437.1257485029942</v>
      </c>
      <c r="N11" s="12">
        <f t="shared" si="3"/>
        <v>84.536808735470245</v>
      </c>
      <c r="O11" s="14">
        <f t="shared" si="4"/>
        <v>0</v>
      </c>
      <c r="P11" s="15">
        <f t="shared" si="5"/>
        <v>-3.6984853821768127</v>
      </c>
      <c r="Q11" s="256">
        <f t="shared" si="6"/>
        <v>0.95808383233532945</v>
      </c>
      <c r="R11" s="615"/>
      <c r="S11" s="34">
        <v>0.375</v>
      </c>
      <c r="T11" s="34">
        <v>0.4909722222222222</v>
      </c>
      <c r="U11" s="255">
        <f t="shared" si="14"/>
        <v>6.9999999999999751</v>
      </c>
      <c r="V11" s="261">
        <f t="shared" si="13"/>
        <v>166.99999999999997</v>
      </c>
      <c r="W11" s="16">
        <f>T11</f>
        <v>0.4909722222222222</v>
      </c>
      <c r="X11" s="16">
        <f>S12</f>
        <v>0.52916666666666667</v>
      </c>
      <c r="Y11" s="16"/>
      <c r="Z11" s="16"/>
      <c r="AA11" s="617"/>
      <c r="AB11" s="617"/>
      <c r="AC11" s="35"/>
      <c r="AD11" s="18"/>
      <c r="AE11" s="14">
        <f t="shared" si="8"/>
        <v>-62.874251497005844</v>
      </c>
      <c r="AF11" s="256">
        <f t="shared" si="9"/>
        <v>0.95808383233532945</v>
      </c>
      <c r="AG11" s="615"/>
    </row>
    <row r="12" spans="1:33" ht="15.75" customHeight="1">
      <c r="A12" s="648" t="s">
        <v>1136</v>
      </c>
      <c r="B12" s="29" t="s">
        <v>19</v>
      </c>
      <c r="C12" s="644" t="s">
        <v>21</v>
      </c>
      <c r="D12" s="645"/>
      <c r="E12" s="29">
        <v>39.799999999999997</v>
      </c>
      <c r="F12" s="263">
        <v>2475</v>
      </c>
      <c r="G12" s="255">
        <f t="shared" si="11"/>
        <v>98505</v>
      </c>
      <c r="H12" s="33" t="s">
        <v>57</v>
      </c>
      <c r="I12" s="260">
        <v>17</v>
      </c>
      <c r="J12" s="31">
        <v>1500</v>
      </c>
      <c r="K12" s="12">
        <f t="shared" si="1"/>
        <v>88.235294117647058</v>
      </c>
      <c r="L12" s="260">
        <v>17</v>
      </c>
      <c r="M12" s="13">
        <f t="shared" si="12"/>
        <v>1441.7475728155346</v>
      </c>
      <c r="N12" s="12">
        <f t="shared" si="3"/>
        <v>84.808680753854972</v>
      </c>
      <c r="O12" s="14">
        <f t="shared" si="4"/>
        <v>0</v>
      </c>
      <c r="P12" s="15">
        <f t="shared" si="5"/>
        <v>-3.4266133637920859</v>
      </c>
      <c r="Q12" s="256">
        <f t="shared" si="6"/>
        <v>0.96116504854368967</v>
      </c>
      <c r="R12" s="615"/>
      <c r="S12" s="34">
        <v>0.52916666666666667</v>
      </c>
      <c r="T12" s="34">
        <v>0.60069444444444442</v>
      </c>
      <c r="U12" s="255">
        <f t="shared" si="14"/>
        <v>55.000000000000043</v>
      </c>
      <c r="V12" s="261">
        <f t="shared" si="13"/>
        <v>102.99999999999996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-58.252427184465432</v>
      </c>
      <c r="AF12" s="256">
        <f t="shared" si="9"/>
        <v>0.96116504854368967</v>
      </c>
      <c r="AG12" s="615"/>
    </row>
    <row r="13" spans="1:33" ht="16.5" customHeight="1">
      <c r="A13" s="648" t="s">
        <v>1136</v>
      </c>
      <c r="B13" s="29" t="s">
        <v>1137</v>
      </c>
      <c r="C13" s="618"/>
      <c r="D13" s="618"/>
      <c r="E13" s="257"/>
      <c r="F13" s="31"/>
      <c r="G13" s="13"/>
      <c r="H13" s="263"/>
      <c r="I13" s="23">
        <v>17.25</v>
      </c>
      <c r="J13" s="31">
        <v>1500</v>
      </c>
      <c r="K13" s="12">
        <f t="shared" si="1"/>
        <v>86.956521739130437</v>
      </c>
      <c r="L13" s="23">
        <v>17.25</v>
      </c>
      <c r="M13" s="13">
        <f>AVERAGE(M9:M12)</f>
        <v>1434.9841164121062</v>
      </c>
      <c r="N13" s="12">
        <f t="shared" si="3"/>
        <v>83.187485009397463</v>
      </c>
      <c r="O13" s="14">
        <f t="shared" si="4"/>
        <v>0</v>
      </c>
      <c r="P13" s="15">
        <f t="shared" si="5"/>
        <v>-3.7690367297329743</v>
      </c>
      <c r="Q13" s="256">
        <f t="shared" si="6"/>
        <v>0.95665607760807081</v>
      </c>
      <c r="R13" s="615"/>
      <c r="S13" s="34"/>
      <c r="T13" s="34"/>
      <c r="U13" s="12"/>
      <c r="V13" s="261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-65.015883587893768</v>
      </c>
      <c r="AF13" s="256">
        <f t="shared" si="9"/>
        <v>0.95665607760807081</v>
      </c>
      <c r="AG13" s="615"/>
    </row>
    <row r="14" spans="1:33" ht="16.5" customHeight="1">
      <c r="A14" s="646" t="s">
        <v>8</v>
      </c>
      <c r="B14" s="263" t="s">
        <v>22</v>
      </c>
      <c r="C14" s="640" t="s">
        <v>23</v>
      </c>
      <c r="D14" s="640"/>
      <c r="E14" s="29">
        <v>41</v>
      </c>
      <c r="F14" s="263">
        <v>2208</v>
      </c>
      <c r="G14" s="255">
        <f t="shared" ref="G14:G20" si="15">E14*F14</f>
        <v>90528</v>
      </c>
      <c r="H14" s="33" t="s">
        <v>57</v>
      </c>
      <c r="I14" s="260">
        <v>26</v>
      </c>
      <c r="J14" s="31">
        <v>1500</v>
      </c>
      <c r="K14" s="12">
        <f t="shared" si="1"/>
        <v>57.692307692307693</v>
      </c>
      <c r="L14" s="260">
        <v>26</v>
      </c>
      <c r="M14" s="13">
        <f t="shared" ref="M14:M20" si="16">F14/V14*60</f>
        <v>1439.9999999999998</v>
      </c>
      <c r="N14" s="12">
        <f t="shared" si="3"/>
        <v>55.384615384615373</v>
      </c>
      <c r="O14" s="14">
        <f t="shared" si="4"/>
        <v>0</v>
      </c>
      <c r="P14" s="15">
        <f t="shared" si="5"/>
        <v>-2.3076923076923208</v>
      </c>
      <c r="Q14" s="256">
        <f t="shared" si="6"/>
        <v>0.95999999999999974</v>
      </c>
      <c r="R14" s="615">
        <f>Q21</f>
        <v>0.96114054941016369</v>
      </c>
      <c r="S14" s="34">
        <v>8.3333333333333329E-2</v>
      </c>
      <c r="T14" s="34">
        <v>0.14722222222222223</v>
      </c>
      <c r="U14" s="255"/>
      <c r="V14" s="261">
        <f t="shared" ref="V14:V20" si="17">(T14-S14)*24*60</f>
        <v>92.000000000000014</v>
      </c>
      <c r="W14" s="16">
        <f>T14</f>
        <v>0.14722222222222223</v>
      </c>
      <c r="X14" s="16">
        <f>S15</f>
        <v>0.16736111111111113</v>
      </c>
      <c r="Y14" s="21"/>
      <c r="Z14" s="21"/>
      <c r="AA14" s="617"/>
      <c r="AB14" s="617"/>
      <c r="AC14" s="35">
        <v>7</v>
      </c>
      <c r="AD14" s="18"/>
      <c r="AE14" s="14">
        <f t="shared" si="8"/>
        <v>-60.000000000000227</v>
      </c>
      <c r="AF14" s="256">
        <f t="shared" si="9"/>
        <v>0.95999999999999985</v>
      </c>
      <c r="AG14" s="615">
        <f>AF21</f>
        <v>0.9611405494101638</v>
      </c>
    </row>
    <row r="15" spans="1:33" ht="16.5" customHeight="1">
      <c r="A15" s="647" t="s">
        <v>1138</v>
      </c>
      <c r="B15" s="263" t="s">
        <v>22</v>
      </c>
      <c r="C15" s="640" t="s">
        <v>87</v>
      </c>
      <c r="D15" s="640"/>
      <c r="E15" s="29">
        <v>38.619999999999997</v>
      </c>
      <c r="F15" s="263">
        <v>2835</v>
      </c>
      <c r="G15" s="255">
        <f t="shared" si="15"/>
        <v>109487.7</v>
      </c>
      <c r="H15" s="33" t="s">
        <v>57</v>
      </c>
      <c r="I15" s="260">
        <v>24</v>
      </c>
      <c r="J15" s="31">
        <v>1500</v>
      </c>
      <c r="K15" s="12">
        <f t="shared" si="1"/>
        <v>62.5</v>
      </c>
      <c r="L15" s="260">
        <v>24</v>
      </c>
      <c r="M15" s="13">
        <f t="shared" si="16"/>
        <v>1429.4117647058827</v>
      </c>
      <c r="N15" s="12">
        <f t="shared" si="3"/>
        <v>59.558823529411775</v>
      </c>
      <c r="O15" s="14">
        <f t="shared" si="4"/>
        <v>0</v>
      </c>
      <c r="P15" s="15">
        <f t="shared" si="5"/>
        <v>-2.9411764705882248</v>
      </c>
      <c r="Q15" s="256">
        <f t="shared" si="6"/>
        <v>0.9529411764705884</v>
      </c>
      <c r="R15" s="615"/>
      <c r="S15" s="34">
        <v>0.16736111111111113</v>
      </c>
      <c r="T15" s="34">
        <v>0.25</v>
      </c>
      <c r="U15" s="255">
        <f t="shared" ref="U15:U20" si="18">IF(S15=TIME(17,0,0),"",(S15-T14)*24*60)</f>
        <v>29.000000000000018</v>
      </c>
      <c r="V15" s="261">
        <f t="shared" si="17"/>
        <v>118.99999999999997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-70.588235294117339</v>
      </c>
      <c r="AF15" s="256">
        <f t="shared" si="9"/>
        <v>0.9529411764705884</v>
      </c>
      <c r="AG15" s="615"/>
    </row>
    <row r="16" spans="1:33" ht="16.5" customHeight="1">
      <c r="A16" s="647" t="s">
        <v>8</v>
      </c>
      <c r="B16" s="263" t="s">
        <v>15</v>
      </c>
      <c r="C16" s="640" t="s">
        <v>86</v>
      </c>
      <c r="D16" s="640"/>
      <c r="E16" s="29">
        <v>37.03</v>
      </c>
      <c r="F16" s="263">
        <v>3700</v>
      </c>
      <c r="G16" s="255">
        <f t="shared" si="15"/>
        <v>137011</v>
      </c>
      <c r="H16" s="33" t="s">
        <v>57</v>
      </c>
      <c r="I16" s="260">
        <v>13</v>
      </c>
      <c r="J16" s="31">
        <v>1500</v>
      </c>
      <c r="K16" s="12">
        <f t="shared" si="1"/>
        <v>115.38461538461539</v>
      </c>
      <c r="L16" s="260">
        <v>13</v>
      </c>
      <c r="M16" s="13">
        <f t="shared" si="16"/>
        <v>1432.258064516129</v>
      </c>
      <c r="N16" s="12">
        <f t="shared" si="3"/>
        <v>110.17369727047146</v>
      </c>
      <c r="O16" s="14">
        <f t="shared" si="4"/>
        <v>0</v>
      </c>
      <c r="P16" s="15">
        <f t="shared" si="5"/>
        <v>-5.2109181141439223</v>
      </c>
      <c r="Q16" s="256">
        <f t="shared" si="6"/>
        <v>0.95483870967741935</v>
      </c>
      <c r="R16" s="615"/>
      <c r="S16" s="34">
        <v>0.25347222222222221</v>
      </c>
      <c r="T16" s="34">
        <v>0.3611111111111111</v>
      </c>
      <c r="U16" s="255">
        <f t="shared" si="18"/>
        <v>4.9999999999999822</v>
      </c>
      <c r="V16" s="261">
        <f t="shared" si="17"/>
        <v>155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-67.741935483870975</v>
      </c>
      <c r="AF16" s="256">
        <f t="shared" si="9"/>
        <v>0.95483870967741935</v>
      </c>
      <c r="AG16" s="615"/>
    </row>
    <row r="17" spans="1:33" ht="16.5" customHeight="1">
      <c r="A17" s="647" t="s">
        <v>8</v>
      </c>
      <c r="B17" s="263" t="s">
        <v>19</v>
      </c>
      <c r="C17" s="640" t="s">
        <v>267</v>
      </c>
      <c r="D17" s="640"/>
      <c r="E17" s="29">
        <v>39.520000000000003</v>
      </c>
      <c r="F17" s="263">
        <v>3693</v>
      </c>
      <c r="G17" s="255">
        <f t="shared" si="15"/>
        <v>145947.36000000002</v>
      </c>
      <c r="H17" s="33" t="s">
        <v>57</v>
      </c>
      <c r="I17" s="260">
        <v>19</v>
      </c>
      <c r="J17" s="31">
        <v>1500</v>
      </c>
      <c r="K17" s="12">
        <f t="shared" si="1"/>
        <v>78.94736842105263</v>
      </c>
      <c r="L17" s="260">
        <v>19</v>
      </c>
      <c r="M17" s="13">
        <f t="shared" si="16"/>
        <v>1429.5483870967741</v>
      </c>
      <c r="N17" s="12">
        <f t="shared" si="3"/>
        <v>75.239388794567063</v>
      </c>
      <c r="O17" s="14">
        <f t="shared" si="4"/>
        <v>0</v>
      </c>
      <c r="P17" s="15">
        <f t="shared" si="5"/>
        <v>-3.7079796264855673</v>
      </c>
      <c r="Q17" s="256">
        <f t="shared" si="6"/>
        <v>0.95303225806451619</v>
      </c>
      <c r="R17" s="615"/>
      <c r="S17" s="34">
        <v>0.36666666666666664</v>
      </c>
      <c r="T17" s="34">
        <v>0.47430555555555554</v>
      </c>
      <c r="U17" s="255">
        <f t="shared" si="18"/>
        <v>7.9999999999999716</v>
      </c>
      <c r="V17" s="261">
        <f t="shared" si="17"/>
        <v>155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-70.45161290322585</v>
      </c>
      <c r="AF17" s="256">
        <f t="shared" si="9"/>
        <v>0.95303225806451608</v>
      </c>
      <c r="AG17" s="615"/>
    </row>
    <row r="18" spans="1:33" ht="16.5" customHeight="1">
      <c r="A18" s="647" t="s">
        <v>1139</v>
      </c>
      <c r="B18" s="263" t="s">
        <v>15</v>
      </c>
      <c r="C18" s="640" t="s">
        <v>25</v>
      </c>
      <c r="D18" s="640"/>
      <c r="E18" s="29">
        <v>53.68</v>
      </c>
      <c r="F18" s="263">
        <v>945</v>
      </c>
      <c r="G18" s="255">
        <f t="shared" si="15"/>
        <v>50727.6</v>
      </c>
      <c r="H18" s="33" t="s">
        <v>57</v>
      </c>
      <c r="I18" s="260">
        <v>16</v>
      </c>
      <c r="J18" s="31">
        <v>1500</v>
      </c>
      <c r="K18" s="12">
        <f t="shared" si="1"/>
        <v>93.75</v>
      </c>
      <c r="L18" s="260">
        <v>16</v>
      </c>
      <c r="M18" s="13">
        <f t="shared" si="16"/>
        <v>1453.8461538461531</v>
      </c>
      <c r="N18" s="12">
        <f t="shared" si="3"/>
        <v>90.865384615384571</v>
      </c>
      <c r="O18" s="14">
        <f t="shared" si="4"/>
        <v>0</v>
      </c>
      <c r="P18" s="15">
        <f t="shared" si="5"/>
        <v>-2.8846153846154294</v>
      </c>
      <c r="Q18" s="256">
        <f t="shared" si="6"/>
        <v>0.96923076923076878</v>
      </c>
      <c r="R18" s="615"/>
      <c r="S18" s="34">
        <v>0.70833333333333337</v>
      </c>
      <c r="T18" s="34">
        <v>0.73541666666666672</v>
      </c>
      <c r="U18" s="255" t="str">
        <f t="shared" si="18"/>
        <v/>
      </c>
      <c r="V18" s="261">
        <f t="shared" si="17"/>
        <v>39.000000000000021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-46.153846153846871</v>
      </c>
      <c r="AF18" s="256">
        <f t="shared" si="9"/>
        <v>0.96923076923076878</v>
      </c>
      <c r="AG18" s="615"/>
    </row>
    <row r="19" spans="1:33" ht="16.5" customHeight="1">
      <c r="A19" s="647" t="s">
        <v>1138</v>
      </c>
      <c r="B19" s="263" t="s">
        <v>15</v>
      </c>
      <c r="C19" s="258" t="s">
        <v>18</v>
      </c>
      <c r="D19" s="259"/>
      <c r="E19" s="29">
        <v>52.86</v>
      </c>
      <c r="F19" s="263">
        <v>1073</v>
      </c>
      <c r="G19" s="255">
        <f t="shared" si="15"/>
        <v>56718.78</v>
      </c>
      <c r="H19" s="33" t="s">
        <v>57</v>
      </c>
      <c r="I19" s="260">
        <v>16</v>
      </c>
      <c r="J19" s="31">
        <v>2000</v>
      </c>
      <c r="K19" s="12">
        <f t="shared" si="1"/>
        <v>125</v>
      </c>
      <c r="L19" s="260">
        <v>16</v>
      </c>
      <c r="M19" s="13">
        <f t="shared" si="16"/>
        <v>1950.9090909090883</v>
      </c>
      <c r="N19" s="12">
        <f t="shared" si="3"/>
        <v>121.93181818181802</v>
      </c>
      <c r="O19" s="14">
        <f t="shared" si="4"/>
        <v>0</v>
      </c>
      <c r="P19" s="15">
        <f t="shared" si="5"/>
        <v>-3.0681818181819835</v>
      </c>
      <c r="Q19" s="256">
        <f t="shared" si="6"/>
        <v>0.97545454545454413</v>
      </c>
      <c r="R19" s="615"/>
      <c r="S19" s="34">
        <v>0.74027777777777781</v>
      </c>
      <c r="T19" s="34">
        <v>0.76319444444444451</v>
      </c>
      <c r="U19" s="255">
        <f t="shared" si="18"/>
        <v>6.9999999999999751</v>
      </c>
      <c r="V19" s="261">
        <f t="shared" si="17"/>
        <v>33.000000000000043</v>
      </c>
      <c r="W19" s="16"/>
      <c r="X19" s="16"/>
      <c r="Y19" s="19"/>
      <c r="Z19" s="19"/>
      <c r="AA19" s="251"/>
      <c r="AB19" s="252"/>
      <c r="AC19" s="35"/>
      <c r="AD19" s="18"/>
      <c r="AE19" s="14">
        <f t="shared" si="8"/>
        <v>-49.090909090911737</v>
      </c>
      <c r="AF19" s="256">
        <f t="shared" si="9"/>
        <v>0.97545454545454413</v>
      </c>
      <c r="AG19" s="615"/>
    </row>
    <row r="20" spans="1:33" ht="16.5" customHeight="1">
      <c r="A20" s="647" t="s">
        <v>8</v>
      </c>
      <c r="B20" s="263" t="s">
        <v>15</v>
      </c>
      <c r="C20" s="258" t="s">
        <v>16</v>
      </c>
      <c r="D20" s="259"/>
      <c r="E20" s="29">
        <v>50.67</v>
      </c>
      <c r="F20" s="263">
        <v>1342</v>
      </c>
      <c r="G20" s="255">
        <f t="shared" si="15"/>
        <v>67999.14</v>
      </c>
      <c r="H20" s="33" t="s">
        <v>57</v>
      </c>
      <c r="I20" s="260">
        <v>17</v>
      </c>
      <c r="J20" s="31">
        <v>2000</v>
      </c>
      <c r="K20" s="12">
        <f t="shared" si="1"/>
        <v>117.64705882352941</v>
      </c>
      <c r="L20" s="260">
        <v>17</v>
      </c>
      <c r="M20" s="13">
        <f t="shared" si="16"/>
        <v>1917.1428571428564</v>
      </c>
      <c r="N20" s="12">
        <f t="shared" si="3"/>
        <v>112.77310924369743</v>
      </c>
      <c r="O20" s="14">
        <f t="shared" si="4"/>
        <v>0</v>
      </c>
      <c r="P20" s="15">
        <f t="shared" si="5"/>
        <v>-4.8739495798319723</v>
      </c>
      <c r="Q20" s="256">
        <f t="shared" si="6"/>
        <v>0.95857142857142819</v>
      </c>
      <c r="R20" s="615"/>
      <c r="S20" s="34">
        <v>0.76736111111111116</v>
      </c>
      <c r="T20" s="34">
        <v>0.79652777777777783</v>
      </c>
      <c r="U20" s="255">
        <f t="shared" si="18"/>
        <v>5.9999999999999787</v>
      </c>
      <c r="V20" s="261">
        <f t="shared" si="17"/>
        <v>42.000000000000014</v>
      </c>
      <c r="W20" s="16"/>
      <c r="X20" s="16"/>
      <c r="Y20" s="19"/>
      <c r="Z20" s="19"/>
      <c r="AA20" s="251"/>
      <c r="AB20" s="252"/>
      <c r="AC20" s="35"/>
      <c r="AD20" s="18"/>
      <c r="AE20" s="14">
        <f t="shared" si="8"/>
        <v>-82.857142857143572</v>
      </c>
      <c r="AF20" s="256">
        <f t="shared" si="9"/>
        <v>0.95857142857142819</v>
      </c>
      <c r="AG20" s="615"/>
    </row>
    <row r="21" spans="1:33" ht="16.5" customHeight="1">
      <c r="A21" s="647" t="s">
        <v>8</v>
      </c>
      <c r="B21" s="29" t="s">
        <v>1137</v>
      </c>
      <c r="C21" s="618"/>
      <c r="D21" s="618"/>
      <c r="E21" s="257"/>
      <c r="F21" s="30"/>
      <c r="G21" s="12"/>
      <c r="H21" s="263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1579.0166168881262</v>
      </c>
      <c r="N21" s="12">
        <f t="shared" si="3"/>
        <v>84.374933726846436</v>
      </c>
      <c r="O21" s="14">
        <f t="shared" si="4"/>
        <v>0</v>
      </c>
      <c r="P21" s="15">
        <f t="shared" si="5"/>
        <v>-3.4113258151382979</v>
      </c>
      <c r="Q21" s="256">
        <f t="shared" si="6"/>
        <v>0.96114054941016369</v>
      </c>
      <c r="R21" s="615"/>
      <c r="S21" s="34"/>
      <c r="T21" s="34"/>
      <c r="U21" s="255"/>
      <c r="V21" s="261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-63.840525969016653</v>
      </c>
      <c r="AF21" s="256">
        <f t="shared" si="9"/>
        <v>0.9611405494101638</v>
      </c>
      <c r="AG21" s="615"/>
    </row>
    <row r="22" spans="1:33" ht="15.75" customHeight="1">
      <c r="A22" s="642" t="s">
        <v>1140</v>
      </c>
      <c r="B22" s="29" t="s">
        <v>15</v>
      </c>
      <c r="C22" s="640" t="s">
        <v>24</v>
      </c>
      <c r="D22" s="640"/>
      <c r="E22" s="29">
        <v>54.09</v>
      </c>
      <c r="F22" s="263">
        <v>1504</v>
      </c>
      <c r="G22" s="255">
        <f t="shared" ref="G22:G29" si="19">E22*F22</f>
        <v>81351.360000000001</v>
      </c>
      <c r="H22" s="33" t="s">
        <v>57</v>
      </c>
      <c r="I22" s="260">
        <v>17</v>
      </c>
      <c r="J22" s="31">
        <v>1500</v>
      </c>
      <c r="K22" s="12">
        <f t="shared" si="1"/>
        <v>88.235294117647058</v>
      </c>
      <c r="L22" s="260">
        <v>17</v>
      </c>
      <c r="M22" s="13">
        <f t="shared" ref="M22:M29" si="20">F22/V22*60</f>
        <v>1432.3809523809527</v>
      </c>
      <c r="N22" s="12">
        <f t="shared" si="3"/>
        <v>84.257703081232521</v>
      </c>
      <c r="O22" s="14">
        <f t="shared" si="4"/>
        <v>0</v>
      </c>
      <c r="P22" s="15">
        <f t="shared" si="5"/>
        <v>-3.9775910364145375</v>
      </c>
      <c r="Q22" s="256">
        <f t="shared" si="6"/>
        <v>0.95492063492063528</v>
      </c>
      <c r="R22" s="615">
        <f>Q30</f>
        <v>0.96117019425418482</v>
      </c>
      <c r="S22" s="34">
        <v>0.20833333333333334</v>
      </c>
      <c r="T22" s="34">
        <v>0.25208333333333333</v>
      </c>
      <c r="U22" s="255"/>
      <c r="V22" s="261">
        <f t="shared" ref="V22:V29" si="21">(T22-S22)*24*60</f>
        <v>62.999999999999979</v>
      </c>
      <c r="W22" s="21"/>
      <c r="X22" s="21"/>
      <c r="Y22" s="21"/>
      <c r="Z22" s="21"/>
      <c r="AA22" s="617"/>
      <c r="AB22" s="617"/>
      <c r="AC22" s="35">
        <v>8</v>
      </c>
      <c r="AD22" s="18"/>
      <c r="AE22" s="14">
        <f t="shared" si="8"/>
        <v>-67.619047619047251</v>
      </c>
      <c r="AF22" s="256">
        <f t="shared" si="9"/>
        <v>0.95492063492063517</v>
      </c>
      <c r="AG22" s="615">
        <f>AF30</f>
        <v>0.96117019425418493</v>
      </c>
    </row>
    <row r="23" spans="1:33" ht="15.75" customHeight="1">
      <c r="A23" s="643" t="s">
        <v>9</v>
      </c>
      <c r="B23" s="29" t="s">
        <v>15</v>
      </c>
      <c r="C23" s="640" t="s">
        <v>28</v>
      </c>
      <c r="D23" s="640"/>
      <c r="E23" s="29">
        <v>50.67</v>
      </c>
      <c r="F23" s="263">
        <v>2416</v>
      </c>
      <c r="G23" s="255">
        <f t="shared" si="19"/>
        <v>122418.72</v>
      </c>
      <c r="H23" s="33" t="s">
        <v>57</v>
      </c>
      <c r="I23" s="260">
        <v>17</v>
      </c>
      <c r="J23" s="31">
        <v>2000</v>
      </c>
      <c r="K23" s="12">
        <f t="shared" si="1"/>
        <v>117.64705882352941</v>
      </c>
      <c r="L23" s="260">
        <v>17</v>
      </c>
      <c r="M23" s="13">
        <f t="shared" si="20"/>
        <v>1907.3684210526324</v>
      </c>
      <c r="N23" s="12">
        <f t="shared" si="3"/>
        <v>112.19814241486073</v>
      </c>
      <c r="O23" s="14">
        <f t="shared" si="4"/>
        <v>0</v>
      </c>
      <c r="P23" s="15">
        <f t="shared" si="5"/>
        <v>-5.4489164086686799</v>
      </c>
      <c r="Q23" s="256">
        <f t="shared" si="6"/>
        <v>0.95368421052631625</v>
      </c>
      <c r="R23" s="615"/>
      <c r="S23" s="34">
        <v>0.25763888888888886</v>
      </c>
      <c r="T23" s="34">
        <v>0.31041666666666662</v>
      </c>
      <c r="U23" s="255">
        <f t="shared" ref="U23:U29" si="22">IF(S23=TIME(17,0,0),"",(S23-T22)*24*60)</f>
        <v>7.9999999999999716</v>
      </c>
      <c r="V23" s="261">
        <f t="shared" si="21"/>
        <v>75.999999999999972</v>
      </c>
      <c r="W23" s="16"/>
      <c r="X23" s="255"/>
      <c r="Y23" s="255"/>
      <c r="Z23" s="255"/>
      <c r="AA23" s="617"/>
      <c r="AB23" s="617"/>
      <c r="AC23" s="35"/>
      <c r="AD23" s="18"/>
      <c r="AE23" s="14">
        <f t="shared" si="8"/>
        <v>-92.631578947367643</v>
      </c>
      <c r="AF23" s="256">
        <f t="shared" si="9"/>
        <v>0.95368421052631613</v>
      </c>
      <c r="AG23" s="615"/>
    </row>
    <row r="24" spans="1:33" ht="15.75" customHeight="1">
      <c r="A24" s="643" t="s">
        <v>1141</v>
      </c>
      <c r="B24" s="29" t="s">
        <v>15</v>
      </c>
      <c r="C24" s="640" t="s">
        <v>29</v>
      </c>
      <c r="D24" s="640"/>
      <c r="E24" s="29">
        <v>57.73</v>
      </c>
      <c r="F24" s="263">
        <v>2674</v>
      </c>
      <c r="G24" s="255">
        <f t="shared" si="19"/>
        <v>154370.01999999999</v>
      </c>
      <c r="H24" s="33" t="s">
        <v>57</v>
      </c>
      <c r="I24" s="260">
        <v>14</v>
      </c>
      <c r="J24" s="31">
        <v>2000</v>
      </c>
      <c r="K24" s="12">
        <f t="shared" si="1"/>
        <v>142.85714285714286</v>
      </c>
      <c r="L24" s="260">
        <v>14</v>
      </c>
      <c r="M24" s="13">
        <f t="shared" si="20"/>
        <v>1909.9999999999993</v>
      </c>
      <c r="N24" s="12">
        <f t="shared" si="3"/>
        <v>136.42857142857139</v>
      </c>
      <c r="O24" s="14">
        <f t="shared" si="4"/>
        <v>0</v>
      </c>
      <c r="P24" s="15">
        <f t="shared" si="5"/>
        <v>-6.4285714285714732</v>
      </c>
      <c r="Q24" s="256">
        <f t="shared" si="6"/>
        <v>0.95499999999999974</v>
      </c>
      <c r="R24" s="615"/>
      <c r="S24" s="34">
        <v>0.31458333333333327</v>
      </c>
      <c r="T24" s="34">
        <v>0.37291666666666662</v>
      </c>
      <c r="U24" s="255">
        <f t="shared" si="22"/>
        <v>5.9999999999999787</v>
      </c>
      <c r="V24" s="261">
        <f t="shared" si="21"/>
        <v>84.000000000000028</v>
      </c>
      <c r="W24" s="16"/>
      <c r="X24" s="255"/>
      <c r="Y24" s="255"/>
      <c r="Z24" s="255"/>
      <c r="AA24" s="617"/>
      <c r="AB24" s="617"/>
      <c r="AC24" s="35"/>
      <c r="AD24" s="18"/>
      <c r="AE24" s="14">
        <f t="shared" si="8"/>
        <v>-90.000000000000682</v>
      </c>
      <c r="AF24" s="256">
        <f t="shared" si="9"/>
        <v>0.95499999999999963</v>
      </c>
      <c r="AG24" s="615"/>
    </row>
    <row r="25" spans="1:33" ht="15.75" customHeight="1">
      <c r="A25" s="643" t="s">
        <v>9</v>
      </c>
      <c r="B25" s="29" t="s">
        <v>15</v>
      </c>
      <c r="C25" s="640" t="s">
        <v>80</v>
      </c>
      <c r="D25" s="640"/>
      <c r="E25" s="29">
        <v>53.27</v>
      </c>
      <c r="F25" s="263">
        <v>1806</v>
      </c>
      <c r="G25" s="255">
        <f t="shared" si="19"/>
        <v>96205.62000000001</v>
      </c>
      <c r="H25" s="33" t="s">
        <v>57</v>
      </c>
      <c r="I25" s="260">
        <v>16</v>
      </c>
      <c r="J25" s="31">
        <v>2000</v>
      </c>
      <c r="K25" s="12">
        <f t="shared" si="1"/>
        <v>125</v>
      </c>
      <c r="L25" s="260">
        <v>16</v>
      </c>
      <c r="M25" s="13">
        <f t="shared" si="20"/>
        <v>1934.9999999999986</v>
      </c>
      <c r="N25" s="12">
        <f t="shared" si="3"/>
        <v>120.93749999999991</v>
      </c>
      <c r="O25" s="14">
        <f t="shared" si="4"/>
        <v>0</v>
      </c>
      <c r="P25" s="15">
        <f t="shared" si="5"/>
        <v>-4.0625000000000853</v>
      </c>
      <c r="Q25" s="256">
        <f t="shared" si="6"/>
        <v>0.96749999999999936</v>
      </c>
      <c r="R25" s="615"/>
      <c r="S25" s="34">
        <v>0.37638888888888883</v>
      </c>
      <c r="T25" s="34">
        <v>0.41527777777777775</v>
      </c>
      <c r="U25" s="255">
        <f t="shared" si="22"/>
        <v>4.9999999999999822</v>
      </c>
      <c r="V25" s="261">
        <f t="shared" si="21"/>
        <v>56.000000000000043</v>
      </c>
      <c r="W25" s="16"/>
      <c r="X25" s="255"/>
      <c r="Y25" s="255"/>
      <c r="Z25" s="255"/>
      <c r="AA25" s="617"/>
      <c r="AB25" s="617"/>
      <c r="AC25" s="35"/>
      <c r="AD25" s="18"/>
      <c r="AE25" s="14">
        <f t="shared" si="8"/>
        <v>-65.000000000001364</v>
      </c>
      <c r="AF25" s="256">
        <f t="shared" si="9"/>
        <v>0.96749999999999936</v>
      </c>
      <c r="AG25" s="615"/>
    </row>
    <row r="26" spans="1:33" ht="15.75" customHeight="1">
      <c r="A26" s="643" t="s">
        <v>9</v>
      </c>
      <c r="B26" s="29" t="s">
        <v>15</v>
      </c>
      <c r="C26" s="640" t="s">
        <v>30</v>
      </c>
      <c r="D26" s="640"/>
      <c r="E26" s="29">
        <v>50.49</v>
      </c>
      <c r="F26" s="263">
        <v>1676</v>
      </c>
      <c r="G26" s="255">
        <f t="shared" si="19"/>
        <v>84621.24</v>
      </c>
      <c r="H26" s="33" t="s">
        <v>57</v>
      </c>
      <c r="I26" s="260">
        <v>15</v>
      </c>
      <c r="J26" s="31">
        <v>2000</v>
      </c>
      <c r="K26" s="12">
        <f t="shared" si="1"/>
        <v>133.33333333333334</v>
      </c>
      <c r="L26" s="260">
        <v>15</v>
      </c>
      <c r="M26" s="13">
        <f t="shared" si="20"/>
        <v>1933.8461538461549</v>
      </c>
      <c r="N26" s="12">
        <f t="shared" si="3"/>
        <v>128.92307692307699</v>
      </c>
      <c r="O26" s="14">
        <f t="shared" si="4"/>
        <v>0</v>
      </c>
      <c r="P26" s="15">
        <f t="shared" si="5"/>
        <v>-4.410256410256352</v>
      </c>
      <c r="Q26" s="256">
        <f t="shared" si="6"/>
        <v>0.96692307692307733</v>
      </c>
      <c r="R26" s="615"/>
      <c r="S26" s="34">
        <v>0.70833333333333337</v>
      </c>
      <c r="T26" s="34">
        <v>0.74444444444444446</v>
      </c>
      <c r="U26" s="255" t="str">
        <f t="shared" si="22"/>
        <v/>
      </c>
      <c r="V26" s="261">
        <f t="shared" si="21"/>
        <v>51.999999999999972</v>
      </c>
      <c r="W26" s="16"/>
      <c r="X26" s="16"/>
      <c r="Y26" s="255"/>
      <c r="Z26" s="255"/>
      <c r="AA26" s="617"/>
      <c r="AB26" s="617"/>
      <c r="AC26" s="35"/>
      <c r="AD26" s="18"/>
      <c r="AE26" s="14">
        <f t="shared" si="8"/>
        <v>-66.153846153845052</v>
      </c>
      <c r="AF26" s="256">
        <f t="shared" si="9"/>
        <v>0.96692307692307744</v>
      </c>
      <c r="AG26" s="615"/>
    </row>
    <row r="27" spans="1:33" ht="15.75" customHeight="1">
      <c r="A27" s="643" t="s">
        <v>9</v>
      </c>
      <c r="B27" s="29" t="s">
        <v>15</v>
      </c>
      <c r="C27" s="640" t="s">
        <v>85</v>
      </c>
      <c r="D27" s="640"/>
      <c r="E27" s="29">
        <v>56.43</v>
      </c>
      <c r="F27" s="263">
        <v>1735</v>
      </c>
      <c r="G27" s="255">
        <f t="shared" si="19"/>
        <v>97906.05</v>
      </c>
      <c r="H27" s="33" t="s">
        <v>57</v>
      </c>
      <c r="I27" s="260">
        <v>13</v>
      </c>
      <c r="J27" s="31">
        <v>2000</v>
      </c>
      <c r="K27" s="12">
        <f t="shared" si="1"/>
        <v>153.84615384615384</v>
      </c>
      <c r="L27" s="260">
        <v>13</v>
      </c>
      <c r="M27" s="13">
        <f t="shared" si="20"/>
        <v>1927.7777777777787</v>
      </c>
      <c r="N27" s="12">
        <f t="shared" si="3"/>
        <v>148.29059829059835</v>
      </c>
      <c r="O27" s="14">
        <f t="shared" si="4"/>
        <v>0</v>
      </c>
      <c r="P27" s="15">
        <f t="shared" si="5"/>
        <v>-5.5555555555554861</v>
      </c>
      <c r="Q27" s="256">
        <f t="shared" si="6"/>
        <v>0.96388888888888935</v>
      </c>
      <c r="R27" s="615"/>
      <c r="S27" s="34">
        <v>0.74791666666666667</v>
      </c>
      <c r="T27" s="34">
        <v>0.78541666666666665</v>
      </c>
      <c r="U27" s="255">
        <f t="shared" si="22"/>
        <v>4.9999999999999822</v>
      </c>
      <c r="V27" s="261">
        <f t="shared" si="21"/>
        <v>53.999999999999972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-72.222222222221262</v>
      </c>
      <c r="AF27" s="256">
        <f t="shared" si="9"/>
        <v>0.96388888888888935</v>
      </c>
      <c r="AG27" s="615"/>
    </row>
    <row r="28" spans="1:33" ht="15.75" customHeight="1">
      <c r="A28" s="643" t="s">
        <v>9</v>
      </c>
      <c r="B28" s="29" t="s">
        <v>15</v>
      </c>
      <c r="C28" s="666" t="s">
        <v>82</v>
      </c>
      <c r="D28" s="667"/>
      <c r="E28" s="29">
        <v>51.06</v>
      </c>
      <c r="F28" s="263">
        <v>1100</v>
      </c>
      <c r="G28" s="255">
        <f t="shared" si="19"/>
        <v>56166</v>
      </c>
      <c r="H28" s="33">
        <v>2</v>
      </c>
      <c r="I28" s="260">
        <v>13</v>
      </c>
      <c r="J28" s="31">
        <v>2000</v>
      </c>
      <c r="K28" s="12">
        <f t="shared" si="1"/>
        <v>153.84615384615384</v>
      </c>
      <c r="L28" s="260">
        <v>13</v>
      </c>
      <c r="M28" s="13">
        <f t="shared" si="20"/>
        <v>1941.1764705882326</v>
      </c>
      <c r="N28" s="12">
        <f t="shared" si="3"/>
        <v>149.32126696832557</v>
      </c>
      <c r="O28" s="14">
        <f t="shared" si="4"/>
        <v>0</v>
      </c>
      <c r="P28" s="15">
        <f t="shared" si="5"/>
        <v>-4.5248868778282656</v>
      </c>
      <c r="Q28" s="256">
        <f t="shared" si="6"/>
        <v>0.97058823529411631</v>
      </c>
      <c r="R28" s="615"/>
      <c r="S28" s="34">
        <v>0.79027777777777775</v>
      </c>
      <c r="T28" s="34">
        <v>0.81388888888888888</v>
      </c>
      <c r="U28" s="255">
        <f t="shared" si="22"/>
        <v>6.9999999999999751</v>
      </c>
      <c r="V28" s="261">
        <f t="shared" si="21"/>
        <v>34.000000000000043</v>
      </c>
      <c r="W28" s="16">
        <f>T28</f>
        <v>0.81388888888888888</v>
      </c>
      <c r="X28" s="16">
        <f>S29</f>
        <v>0.85624999999999996</v>
      </c>
      <c r="Y28" s="22"/>
      <c r="Z28" s="22"/>
      <c r="AA28" s="624"/>
      <c r="AB28" s="625"/>
      <c r="AC28" s="35"/>
      <c r="AD28" s="18"/>
      <c r="AE28" s="14">
        <f t="shared" si="8"/>
        <v>-58.823529411767367</v>
      </c>
      <c r="AF28" s="256">
        <f t="shared" si="9"/>
        <v>0.97058823529411631</v>
      </c>
      <c r="AG28" s="615"/>
    </row>
    <row r="29" spans="1:33" ht="15.75" customHeight="1">
      <c r="A29" s="643" t="s">
        <v>9</v>
      </c>
      <c r="B29" s="29" t="s">
        <v>15</v>
      </c>
      <c r="C29" s="258" t="s">
        <v>82</v>
      </c>
      <c r="D29" s="259"/>
      <c r="E29" s="29">
        <v>51.06</v>
      </c>
      <c r="F29" s="263">
        <v>1624</v>
      </c>
      <c r="G29" s="255">
        <f t="shared" si="19"/>
        <v>82921.440000000002</v>
      </c>
      <c r="H29" s="33" t="s">
        <v>57</v>
      </c>
      <c r="I29" s="260">
        <v>13</v>
      </c>
      <c r="J29" s="31">
        <v>2000</v>
      </c>
      <c r="K29" s="12">
        <f t="shared" si="1"/>
        <v>153.84615384615384</v>
      </c>
      <c r="L29" s="260">
        <v>13</v>
      </c>
      <c r="M29" s="13">
        <f t="shared" si="20"/>
        <v>1910.5882352941185</v>
      </c>
      <c r="N29" s="12">
        <f t="shared" si="3"/>
        <v>146.96832579185528</v>
      </c>
      <c r="O29" s="14">
        <f t="shared" si="4"/>
        <v>0</v>
      </c>
      <c r="P29" s="15">
        <f t="shared" si="5"/>
        <v>-6.8778280542985613</v>
      </c>
      <c r="Q29" s="256">
        <f t="shared" si="6"/>
        <v>0.9552941176470594</v>
      </c>
      <c r="R29" s="615"/>
      <c r="S29" s="34">
        <v>0.85624999999999996</v>
      </c>
      <c r="T29" s="34">
        <v>0.89166666666666661</v>
      </c>
      <c r="U29" s="255">
        <f t="shared" si="22"/>
        <v>60.999999999999943</v>
      </c>
      <c r="V29" s="261">
        <f t="shared" si="21"/>
        <v>50.999999999999979</v>
      </c>
      <c r="W29" s="16"/>
      <c r="X29" s="16"/>
      <c r="Y29" s="19"/>
      <c r="Z29" s="19"/>
      <c r="AA29" s="251"/>
      <c r="AB29" s="252"/>
      <c r="AC29" s="35"/>
      <c r="AD29" s="18"/>
      <c r="AE29" s="14">
        <f t="shared" si="8"/>
        <v>-89.411764705881524</v>
      </c>
      <c r="AF29" s="256">
        <f t="shared" si="9"/>
        <v>0.95529411764705929</v>
      </c>
      <c r="AG29" s="615"/>
    </row>
    <row r="30" spans="1:33" ht="15.75" customHeight="1">
      <c r="A30" s="643" t="s">
        <v>1142</v>
      </c>
      <c r="B30" s="29" t="s">
        <v>1137</v>
      </c>
      <c r="C30" s="618"/>
      <c r="D30" s="618"/>
      <c r="E30" s="257"/>
      <c r="F30" s="263"/>
      <c r="G30" s="255"/>
      <c r="H30" s="263"/>
      <c r="I30" s="23">
        <v>14.75</v>
      </c>
      <c r="J30" s="31">
        <v>1937.5</v>
      </c>
      <c r="K30" s="12">
        <f t="shared" si="1"/>
        <v>131.35593220338984</v>
      </c>
      <c r="L30" s="23">
        <v>14.75</v>
      </c>
      <c r="M30" s="13">
        <f>AVERAGE(M22:M29)</f>
        <v>1862.2672513674834</v>
      </c>
      <c r="N30" s="12">
        <f t="shared" si="3"/>
        <v>126.25540687237175</v>
      </c>
      <c r="O30" s="14">
        <f t="shared" si="4"/>
        <v>0</v>
      </c>
      <c r="P30" s="15">
        <f t="shared" si="5"/>
        <v>-5.1005253310180905</v>
      </c>
      <c r="Q30" s="256">
        <f t="shared" si="6"/>
        <v>0.96117019425418482</v>
      </c>
      <c r="R30" s="615"/>
      <c r="S30" s="34"/>
      <c r="T30" s="34"/>
      <c r="U30" s="12"/>
      <c r="V30" s="261"/>
      <c r="W30" s="12"/>
      <c r="X30" s="12"/>
      <c r="Y30" s="24">
        <f>SUM(Y22:Y29)</f>
        <v>0</v>
      </c>
      <c r="Z30" s="24">
        <f>SUM(Z22:Z29)</f>
        <v>0</v>
      </c>
      <c r="AA30" s="614"/>
      <c r="AB30" s="614"/>
      <c r="AC30" s="24">
        <v>8</v>
      </c>
      <c r="AD30" s="24">
        <f>SUM(AD22:AD29)</f>
        <v>0</v>
      </c>
      <c r="AE30" s="14">
        <f t="shared" si="8"/>
        <v>-75.232748632516632</v>
      </c>
      <c r="AF30" s="256">
        <f t="shared" si="9"/>
        <v>0.96117019425418493</v>
      </c>
      <c r="AG30" s="615"/>
    </row>
    <row r="31" spans="1:33" ht="15.75" customHeight="1">
      <c r="A31" s="641" t="s">
        <v>1143</v>
      </c>
      <c r="B31" s="29" t="s">
        <v>32</v>
      </c>
      <c r="C31" s="640" t="s">
        <v>33</v>
      </c>
      <c r="D31" s="640"/>
      <c r="E31" s="29">
        <v>31.29</v>
      </c>
      <c r="F31" s="263">
        <v>5400</v>
      </c>
      <c r="G31" s="255">
        <f t="shared" ref="G31:G38" si="23">E31*F31</f>
        <v>168966</v>
      </c>
      <c r="H31" s="33">
        <v>2</v>
      </c>
      <c r="I31" s="260">
        <v>18</v>
      </c>
      <c r="J31" s="31">
        <v>2400</v>
      </c>
      <c r="K31" s="12">
        <f t="shared" si="1"/>
        <v>133.33333333333334</v>
      </c>
      <c r="L31" s="260">
        <v>18</v>
      </c>
      <c r="M31" s="13">
        <f t="shared" ref="M31:M38" si="24">F31/V31*60</f>
        <v>2297.872340425532</v>
      </c>
      <c r="N31" s="12">
        <f t="shared" si="3"/>
        <v>127.65957446808511</v>
      </c>
      <c r="O31" s="14">
        <f t="shared" si="4"/>
        <v>0</v>
      </c>
      <c r="P31" s="15">
        <f t="shared" si="5"/>
        <v>-5.6737588652482316</v>
      </c>
      <c r="Q31" s="256">
        <f t="shared" si="6"/>
        <v>0.95744680851063824</v>
      </c>
      <c r="R31" s="615">
        <f>Q39</f>
        <v>0.95502188498461915</v>
      </c>
      <c r="S31" s="34">
        <v>8.3333333333333329E-2</v>
      </c>
      <c r="T31" s="34">
        <v>0.18124999999999999</v>
      </c>
      <c r="U31" s="255"/>
      <c r="V31" s="261">
        <f t="shared" ref="V31:V38" si="25">(T31-S31)*24*60</f>
        <v>141</v>
      </c>
      <c r="W31" s="16">
        <f>T31</f>
        <v>0.18124999999999999</v>
      </c>
      <c r="X31" s="16">
        <f>S32</f>
        <v>0.2013888888888889</v>
      </c>
      <c r="Y31" s="16"/>
      <c r="Z31" s="16"/>
      <c r="AA31" s="617"/>
      <c r="AB31" s="617"/>
      <c r="AC31" s="35">
        <v>8</v>
      </c>
      <c r="AD31" s="18"/>
      <c r="AE31" s="14">
        <f t="shared" si="8"/>
        <v>-102.127659574468</v>
      </c>
      <c r="AF31" s="256">
        <f t="shared" si="9"/>
        <v>0.95744680851063835</v>
      </c>
      <c r="AG31" s="615">
        <f>AF39</f>
        <v>0.95502188498461915</v>
      </c>
    </row>
    <row r="32" spans="1:33" ht="15.75" customHeight="1">
      <c r="A32" s="641" t="s">
        <v>1143</v>
      </c>
      <c r="B32" s="29" t="s">
        <v>32</v>
      </c>
      <c r="C32" s="640" t="s">
        <v>34</v>
      </c>
      <c r="D32" s="640"/>
      <c r="E32" s="29">
        <v>26.37</v>
      </c>
      <c r="F32" s="263">
        <v>4000</v>
      </c>
      <c r="G32" s="255">
        <f t="shared" si="23"/>
        <v>105480</v>
      </c>
      <c r="H32" s="33">
        <v>2</v>
      </c>
      <c r="I32" s="260">
        <v>18</v>
      </c>
      <c r="J32" s="31">
        <v>2400</v>
      </c>
      <c r="K32" s="12">
        <f t="shared" si="1"/>
        <v>133.33333333333334</v>
      </c>
      <c r="L32" s="260">
        <v>18</v>
      </c>
      <c r="M32" s="13">
        <f t="shared" si="24"/>
        <v>2285.7142857142853</v>
      </c>
      <c r="N32" s="12">
        <f t="shared" si="3"/>
        <v>126.98412698412696</v>
      </c>
      <c r="O32" s="14">
        <f t="shared" si="4"/>
        <v>0</v>
      </c>
      <c r="P32" s="15">
        <f t="shared" si="5"/>
        <v>-6.3492063492063835</v>
      </c>
      <c r="Q32" s="256">
        <f t="shared" si="6"/>
        <v>0.95238095238095211</v>
      </c>
      <c r="R32" s="615"/>
      <c r="S32" s="34">
        <v>0.2013888888888889</v>
      </c>
      <c r="T32" s="34">
        <v>0.27430555555555558</v>
      </c>
      <c r="U32" s="255">
        <f t="shared" ref="U32:U38" si="26">(S32-T31)*24*60</f>
        <v>29.000000000000018</v>
      </c>
      <c r="V32" s="261">
        <f t="shared" si="25"/>
        <v>105.00000000000003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-114.28571428571468</v>
      </c>
      <c r="AF32" s="256">
        <f t="shared" si="9"/>
        <v>0.95238095238095222</v>
      </c>
      <c r="AG32" s="615"/>
    </row>
    <row r="33" spans="1:33" ht="15.75" customHeight="1">
      <c r="A33" s="641" t="s">
        <v>1143</v>
      </c>
      <c r="B33" s="29" t="s">
        <v>32</v>
      </c>
      <c r="C33" s="640" t="s">
        <v>76</v>
      </c>
      <c r="D33" s="640"/>
      <c r="E33" s="29">
        <v>26.18</v>
      </c>
      <c r="F33" s="263">
        <v>4600</v>
      </c>
      <c r="G33" s="255">
        <f t="shared" si="23"/>
        <v>120428</v>
      </c>
      <c r="H33" s="33">
        <v>2</v>
      </c>
      <c r="I33" s="260">
        <v>18</v>
      </c>
      <c r="J33" s="31">
        <v>2400</v>
      </c>
      <c r="K33" s="12">
        <f t="shared" si="1"/>
        <v>133.33333333333334</v>
      </c>
      <c r="L33" s="260">
        <v>18</v>
      </c>
      <c r="M33" s="13">
        <f t="shared" si="24"/>
        <v>2300.0000000000005</v>
      </c>
      <c r="N33" s="12">
        <f t="shared" si="3"/>
        <v>127.7777777777778</v>
      </c>
      <c r="O33" s="14">
        <f t="shared" si="4"/>
        <v>0</v>
      </c>
      <c r="P33" s="15">
        <f t="shared" si="5"/>
        <v>-5.5555555555555429</v>
      </c>
      <c r="Q33" s="256">
        <f t="shared" si="6"/>
        <v>0.95833333333333348</v>
      </c>
      <c r="R33" s="615"/>
      <c r="S33" s="34">
        <v>0.27986111111111112</v>
      </c>
      <c r="T33" s="34">
        <v>0.36319444444444443</v>
      </c>
      <c r="U33" s="255">
        <f t="shared" si="26"/>
        <v>7.9999999999999716</v>
      </c>
      <c r="V33" s="261">
        <f t="shared" si="25"/>
        <v>119.99999999999997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-99.999999999999545</v>
      </c>
      <c r="AF33" s="256">
        <f t="shared" si="9"/>
        <v>0.95833333333333348</v>
      </c>
      <c r="AG33" s="615"/>
    </row>
    <row r="34" spans="1:33" ht="15.75" customHeight="1">
      <c r="A34" s="641" t="s">
        <v>1143</v>
      </c>
      <c r="B34" s="29" t="s">
        <v>32</v>
      </c>
      <c r="C34" s="640" t="s">
        <v>35</v>
      </c>
      <c r="D34" s="640"/>
      <c r="E34" s="29">
        <v>25.99</v>
      </c>
      <c r="F34" s="263">
        <v>4077</v>
      </c>
      <c r="G34" s="255">
        <f t="shared" si="23"/>
        <v>105961.23</v>
      </c>
      <c r="H34" s="33" t="s">
        <v>57</v>
      </c>
      <c r="I34" s="260">
        <v>14</v>
      </c>
      <c r="J34" s="31">
        <v>2400</v>
      </c>
      <c r="K34" s="12">
        <f t="shared" si="1"/>
        <v>171.42857142857142</v>
      </c>
      <c r="L34" s="260">
        <v>14</v>
      </c>
      <c r="M34" s="13">
        <f t="shared" si="24"/>
        <v>2286.1682242990651</v>
      </c>
      <c r="N34" s="12">
        <f t="shared" si="3"/>
        <v>163.29773030707608</v>
      </c>
      <c r="O34" s="14">
        <f t="shared" si="4"/>
        <v>0</v>
      </c>
      <c r="P34" s="15">
        <f t="shared" si="5"/>
        <v>-8.1308411214953367</v>
      </c>
      <c r="Q34" s="256">
        <f t="shared" si="6"/>
        <v>0.95257009345794386</v>
      </c>
      <c r="R34" s="615"/>
      <c r="S34" s="34">
        <v>0.36736111111111108</v>
      </c>
      <c r="T34" s="34">
        <v>0.44166666666666665</v>
      </c>
      <c r="U34" s="255">
        <f t="shared" si="26"/>
        <v>5.9999999999999787</v>
      </c>
      <c r="V34" s="261">
        <f t="shared" si="25"/>
        <v>107.00000000000001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-113.83177570093494</v>
      </c>
      <c r="AF34" s="256">
        <f t="shared" si="9"/>
        <v>0.95257009345794375</v>
      </c>
      <c r="AG34" s="615"/>
    </row>
    <row r="35" spans="1:33" ht="15.75" customHeight="1">
      <c r="A35" s="641" t="s">
        <v>1143</v>
      </c>
      <c r="B35" s="29" t="s">
        <v>32</v>
      </c>
      <c r="C35" s="640" t="s">
        <v>79</v>
      </c>
      <c r="D35" s="640"/>
      <c r="E35" s="29">
        <v>25.99</v>
      </c>
      <c r="F35" s="263">
        <v>2371</v>
      </c>
      <c r="G35" s="255">
        <f t="shared" si="23"/>
        <v>61622.289999999994</v>
      </c>
      <c r="H35" s="33" t="s">
        <v>57</v>
      </c>
      <c r="I35" s="260">
        <v>18</v>
      </c>
      <c r="J35" s="31">
        <v>2400</v>
      </c>
      <c r="K35" s="12">
        <f t="shared" si="1"/>
        <v>133.33333333333334</v>
      </c>
      <c r="L35" s="260">
        <v>18</v>
      </c>
      <c r="M35" s="13">
        <f t="shared" si="24"/>
        <v>2294.5161290322571</v>
      </c>
      <c r="N35" s="12">
        <f t="shared" si="3"/>
        <v>127.47311827956985</v>
      </c>
      <c r="O35" s="14">
        <f t="shared" si="4"/>
        <v>0</v>
      </c>
      <c r="P35" s="15">
        <f t="shared" si="5"/>
        <v>-5.8602150537634969</v>
      </c>
      <c r="Q35" s="256">
        <f t="shared" si="6"/>
        <v>0.95604838709677376</v>
      </c>
      <c r="R35" s="615"/>
      <c r="S35" s="34">
        <v>0.4458333333333333</v>
      </c>
      <c r="T35" s="34">
        <v>0.48888888888888887</v>
      </c>
      <c r="U35" s="255">
        <f t="shared" si="26"/>
        <v>5.9999999999999787</v>
      </c>
      <c r="V35" s="261">
        <f t="shared" si="25"/>
        <v>62.000000000000021</v>
      </c>
      <c r="W35" s="16">
        <f>T35</f>
        <v>0.48888888888888887</v>
      </c>
      <c r="X35" s="16">
        <f>S36</f>
        <v>0.52777777777777779</v>
      </c>
      <c r="Y35" s="16"/>
      <c r="Z35" s="16"/>
      <c r="AA35" s="617"/>
      <c r="AB35" s="617"/>
      <c r="AC35" s="35"/>
      <c r="AD35" s="18"/>
      <c r="AE35" s="14">
        <f t="shared" si="8"/>
        <v>-105.48387096774286</v>
      </c>
      <c r="AF35" s="256">
        <f t="shared" si="9"/>
        <v>0.95604838709677376</v>
      </c>
      <c r="AG35" s="615"/>
    </row>
    <row r="36" spans="1:33" ht="15.75" customHeight="1">
      <c r="A36" s="641" t="s">
        <v>1143</v>
      </c>
      <c r="B36" s="29" t="s">
        <v>32</v>
      </c>
      <c r="C36" s="640" t="s">
        <v>76</v>
      </c>
      <c r="D36" s="640"/>
      <c r="E36" s="29">
        <v>26.18</v>
      </c>
      <c r="F36" s="263">
        <v>2968</v>
      </c>
      <c r="G36" s="255">
        <f t="shared" si="23"/>
        <v>77702.240000000005</v>
      </c>
      <c r="H36" s="33" t="s">
        <v>57</v>
      </c>
      <c r="I36" s="260">
        <v>18</v>
      </c>
      <c r="J36" s="31">
        <v>2400</v>
      </c>
      <c r="K36" s="12">
        <f t="shared" si="1"/>
        <v>133.33333333333334</v>
      </c>
      <c r="L36" s="260">
        <v>18</v>
      </c>
      <c r="M36" s="13">
        <f t="shared" si="24"/>
        <v>2283.076923076922</v>
      </c>
      <c r="N36" s="12">
        <f t="shared" si="3"/>
        <v>126.83760683760677</v>
      </c>
      <c r="O36" s="14">
        <f t="shared" si="4"/>
        <v>0</v>
      </c>
      <c r="P36" s="15">
        <f t="shared" si="5"/>
        <v>-6.4957264957265721</v>
      </c>
      <c r="Q36" s="256">
        <f t="shared" si="6"/>
        <v>0.95128205128205068</v>
      </c>
      <c r="R36" s="615"/>
      <c r="S36" s="34">
        <v>0.52777777777777779</v>
      </c>
      <c r="T36" s="34">
        <v>0.58194444444444449</v>
      </c>
      <c r="U36" s="255">
        <f t="shared" si="26"/>
        <v>56.000000000000043</v>
      </c>
      <c r="V36" s="261">
        <f t="shared" si="25"/>
        <v>78.000000000000043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-116.92307692307804</v>
      </c>
      <c r="AF36" s="256">
        <f t="shared" si="9"/>
        <v>0.95128205128205079</v>
      </c>
      <c r="AG36" s="615"/>
    </row>
    <row r="37" spans="1:33" ht="15.75" customHeight="1">
      <c r="A37" s="641" t="s">
        <v>1143</v>
      </c>
      <c r="B37" s="29" t="s">
        <v>32</v>
      </c>
      <c r="C37" s="640" t="s">
        <v>33</v>
      </c>
      <c r="D37" s="640"/>
      <c r="E37" s="29">
        <v>31.29</v>
      </c>
      <c r="F37" s="263">
        <v>3179</v>
      </c>
      <c r="G37" s="255">
        <f t="shared" si="23"/>
        <v>99470.91</v>
      </c>
      <c r="H37" s="33" t="s">
        <v>57</v>
      </c>
      <c r="I37" s="260">
        <v>18</v>
      </c>
      <c r="J37" s="31">
        <v>2400</v>
      </c>
      <c r="K37" s="12">
        <f t="shared" si="1"/>
        <v>133.33333333333334</v>
      </c>
      <c r="L37" s="260">
        <v>18</v>
      </c>
      <c r="M37" s="13">
        <f t="shared" si="24"/>
        <v>2298.0722891566256</v>
      </c>
      <c r="N37" s="12">
        <f t="shared" si="3"/>
        <v>127.67068273092364</v>
      </c>
      <c r="O37" s="14">
        <f t="shared" si="4"/>
        <v>0</v>
      </c>
      <c r="P37" s="15">
        <f t="shared" si="5"/>
        <v>-5.6626506024096983</v>
      </c>
      <c r="Q37" s="256">
        <f t="shared" si="6"/>
        <v>0.95753012048192732</v>
      </c>
      <c r="R37" s="615"/>
      <c r="S37" s="34">
        <v>0.58611111111111114</v>
      </c>
      <c r="T37" s="34">
        <v>0.64375000000000004</v>
      </c>
      <c r="U37" s="255">
        <f t="shared" si="26"/>
        <v>5.9999999999999787</v>
      </c>
      <c r="V37" s="261">
        <f t="shared" si="25"/>
        <v>83.000000000000028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-101.92771084337437</v>
      </c>
      <c r="AF37" s="256">
        <f t="shared" si="9"/>
        <v>0.95753012048192732</v>
      </c>
      <c r="AG37" s="615"/>
    </row>
    <row r="38" spans="1:33" ht="15.75" customHeight="1">
      <c r="A38" s="641" t="s">
        <v>10</v>
      </c>
      <c r="B38" s="29" t="s">
        <v>32</v>
      </c>
      <c r="C38" s="258" t="s">
        <v>34</v>
      </c>
      <c r="D38" s="259"/>
      <c r="E38" s="29">
        <v>26.37</v>
      </c>
      <c r="F38" s="263">
        <v>2291</v>
      </c>
      <c r="G38" s="255">
        <f t="shared" si="23"/>
        <v>60413.670000000006</v>
      </c>
      <c r="H38" s="33" t="s">
        <v>57</v>
      </c>
      <c r="I38" s="260">
        <v>18</v>
      </c>
      <c r="J38" s="31">
        <v>2400</v>
      </c>
      <c r="K38" s="12">
        <f t="shared" si="1"/>
        <v>133.33333333333334</v>
      </c>
      <c r="L38" s="260">
        <v>18</v>
      </c>
      <c r="M38" s="13">
        <f t="shared" si="24"/>
        <v>2291.0000000000023</v>
      </c>
      <c r="N38" s="12">
        <f t="shared" si="3"/>
        <v>127.2777777777779</v>
      </c>
      <c r="O38" s="14">
        <f t="shared" si="4"/>
        <v>0</v>
      </c>
      <c r="P38" s="15">
        <f t="shared" si="5"/>
        <v>-6.0555555555554434</v>
      </c>
      <c r="Q38" s="256">
        <f t="shared" si="6"/>
        <v>0.95458333333333423</v>
      </c>
      <c r="R38" s="615"/>
      <c r="S38" s="34">
        <v>0.64861111111111114</v>
      </c>
      <c r="T38" s="34">
        <v>0.69027777777777777</v>
      </c>
      <c r="U38" s="255">
        <f t="shared" si="26"/>
        <v>6.9999999999999751</v>
      </c>
      <c r="V38" s="261">
        <f t="shared" si="25"/>
        <v>59.999999999999943</v>
      </c>
      <c r="W38" s="16"/>
      <c r="X38" s="16"/>
      <c r="Y38" s="16"/>
      <c r="Z38" s="16"/>
      <c r="AA38" s="251"/>
      <c r="AB38" s="252"/>
      <c r="AC38" s="35"/>
      <c r="AD38" s="18"/>
      <c r="AE38" s="14">
        <f t="shared" si="8"/>
        <v>-108.99999999999773</v>
      </c>
      <c r="AF38" s="256">
        <f t="shared" si="9"/>
        <v>0.95458333333333423</v>
      </c>
      <c r="AG38" s="615"/>
    </row>
    <row r="39" spans="1:33" ht="15.75" customHeight="1">
      <c r="A39" s="641" t="s">
        <v>1143</v>
      </c>
      <c r="B39" s="29" t="s">
        <v>1137</v>
      </c>
      <c r="C39" s="618"/>
      <c r="D39" s="618"/>
      <c r="E39" s="257"/>
      <c r="F39" s="263"/>
      <c r="G39" s="255"/>
      <c r="H39" s="263"/>
      <c r="I39" s="23">
        <v>17.5</v>
      </c>
      <c r="J39" s="31">
        <v>2400</v>
      </c>
      <c r="K39" s="12">
        <f t="shared" si="1"/>
        <v>137.14285714285714</v>
      </c>
      <c r="L39" s="23">
        <v>17.5</v>
      </c>
      <c r="M39" s="13">
        <f>AVERAGE(M31:M38)</f>
        <v>2292.0525239630861</v>
      </c>
      <c r="N39" s="12">
        <f t="shared" si="3"/>
        <v>130.97442994074777</v>
      </c>
      <c r="O39" s="14">
        <f t="shared" si="4"/>
        <v>0</v>
      </c>
      <c r="P39" s="15">
        <f t="shared" si="5"/>
        <v>-6.1684272021093705</v>
      </c>
      <c r="Q39" s="256">
        <f t="shared" si="6"/>
        <v>0.95502188498461915</v>
      </c>
      <c r="R39" s="615"/>
      <c r="S39" s="34"/>
      <c r="T39" s="34"/>
      <c r="U39" s="255"/>
      <c r="V39" s="261"/>
      <c r="W39" s="255"/>
      <c r="X39" s="255"/>
      <c r="Y39" s="24">
        <f>SUM(Y31:Y38)</f>
        <v>0</v>
      </c>
      <c r="Z39" s="24">
        <f>SUM(Z31:Z38)</f>
        <v>0</v>
      </c>
      <c r="AA39" s="614"/>
      <c r="AB39" s="614"/>
      <c r="AC39" s="24">
        <v>8</v>
      </c>
      <c r="AD39" s="24">
        <f>SUM(AD31:AD38)</f>
        <v>0</v>
      </c>
      <c r="AE39" s="14">
        <f t="shared" si="8"/>
        <v>-107.94747603691394</v>
      </c>
      <c r="AF39" s="256">
        <f t="shared" si="9"/>
        <v>0.95502188498461915</v>
      </c>
      <c r="AG39" s="615"/>
    </row>
    <row r="40" spans="1:33" ht="15.75" customHeight="1">
      <c r="A40" s="638" t="s">
        <v>1144</v>
      </c>
      <c r="B40" s="29" t="s">
        <v>32</v>
      </c>
      <c r="C40" s="616" t="s">
        <v>77</v>
      </c>
      <c r="D40" s="616"/>
      <c r="E40" s="29">
        <v>26.18</v>
      </c>
      <c r="F40" s="263">
        <v>3600</v>
      </c>
      <c r="G40" s="255">
        <f t="shared" ref="G40:G47" si="27">E40*F40</f>
        <v>94248</v>
      </c>
      <c r="H40" s="33">
        <v>2</v>
      </c>
      <c r="I40" s="260">
        <v>20</v>
      </c>
      <c r="J40" s="31">
        <v>2400</v>
      </c>
      <c r="K40" s="12">
        <f t="shared" si="1"/>
        <v>120</v>
      </c>
      <c r="L40" s="260">
        <v>20</v>
      </c>
      <c r="M40" s="13">
        <f t="shared" ref="M40:M47" si="28">F40/V40*60</f>
        <v>2297.8723404255315</v>
      </c>
      <c r="N40" s="12">
        <f t="shared" si="3"/>
        <v>114.89361702127658</v>
      </c>
      <c r="O40" s="14">
        <f t="shared" si="4"/>
        <v>0</v>
      </c>
      <c r="P40" s="15">
        <f t="shared" si="5"/>
        <v>-5.106382978723417</v>
      </c>
      <c r="Q40" s="256">
        <f t="shared" si="6"/>
        <v>0.95744680851063824</v>
      </c>
      <c r="R40" s="615">
        <f>Q48</f>
        <v>0.95627702820654903</v>
      </c>
      <c r="S40" s="34">
        <v>8.3333333333333329E-2</v>
      </c>
      <c r="T40" s="34">
        <v>0.14861111111111111</v>
      </c>
      <c r="U40" s="255"/>
      <c r="V40" s="261">
        <f t="shared" ref="V40:V47" si="29">(T40-S40)*24*60</f>
        <v>94.000000000000014</v>
      </c>
      <c r="W40" s="21">
        <f>T40</f>
        <v>0.14861111111111111</v>
      </c>
      <c r="X40" s="21">
        <f>S41</f>
        <v>0.16875000000000001</v>
      </c>
      <c r="Y40" s="21"/>
      <c r="Z40" s="21"/>
      <c r="AA40" s="617"/>
      <c r="AB40" s="617"/>
      <c r="AC40" s="35">
        <v>8</v>
      </c>
      <c r="AD40" s="18"/>
      <c r="AE40" s="14">
        <f t="shared" si="8"/>
        <v>-102.12765957446845</v>
      </c>
      <c r="AF40" s="256">
        <f t="shared" si="9"/>
        <v>0.95744680851063813</v>
      </c>
      <c r="AG40" s="615">
        <f>AF48</f>
        <v>0.95627702820654903</v>
      </c>
    </row>
    <row r="41" spans="1:33" ht="15.75" customHeight="1">
      <c r="A41" s="638" t="s">
        <v>1145</v>
      </c>
      <c r="B41" s="29" t="s">
        <v>32</v>
      </c>
      <c r="C41" s="616" t="s">
        <v>37</v>
      </c>
      <c r="D41" s="616"/>
      <c r="E41" s="29">
        <v>24.43</v>
      </c>
      <c r="F41" s="263">
        <v>3800</v>
      </c>
      <c r="G41" s="255">
        <f t="shared" si="27"/>
        <v>92834</v>
      </c>
      <c r="H41" s="33">
        <v>2</v>
      </c>
      <c r="I41" s="260">
        <v>14</v>
      </c>
      <c r="J41" s="31">
        <v>2400</v>
      </c>
      <c r="K41" s="12">
        <f t="shared" si="1"/>
        <v>171.42857142857142</v>
      </c>
      <c r="L41" s="260">
        <v>14</v>
      </c>
      <c r="M41" s="13">
        <f t="shared" si="28"/>
        <v>2303.0303030303039</v>
      </c>
      <c r="N41" s="12">
        <f t="shared" si="3"/>
        <v>164.50216450216456</v>
      </c>
      <c r="O41" s="14">
        <f t="shared" si="4"/>
        <v>0</v>
      </c>
      <c r="P41" s="15">
        <f t="shared" si="5"/>
        <v>-6.9264069264068553</v>
      </c>
      <c r="Q41" s="256">
        <f t="shared" si="6"/>
        <v>0.95959595959596</v>
      </c>
      <c r="R41" s="615"/>
      <c r="S41" s="34">
        <v>0.16875000000000001</v>
      </c>
      <c r="T41" s="34">
        <v>0.23749999999999999</v>
      </c>
      <c r="U41" s="255">
        <f t="shared" ref="U41:U47" si="30">(S41-T40)*24*60</f>
        <v>29.000000000000018</v>
      </c>
      <c r="V41" s="261">
        <f t="shared" si="29"/>
        <v>98.999999999999972</v>
      </c>
      <c r="W41" s="255"/>
      <c r="X41" s="255"/>
      <c r="Y41" s="255"/>
      <c r="Z41" s="255"/>
      <c r="AA41" s="617"/>
      <c r="AB41" s="617"/>
      <c r="AC41" s="35"/>
      <c r="AD41" s="18"/>
      <c r="AE41" s="14">
        <f t="shared" si="8"/>
        <v>-96.969696969696088</v>
      </c>
      <c r="AF41" s="256">
        <f t="shared" si="9"/>
        <v>0.95959595959596</v>
      </c>
      <c r="AG41" s="615"/>
    </row>
    <row r="42" spans="1:33">
      <c r="A42" s="639" t="s">
        <v>1146</v>
      </c>
      <c r="B42" s="29" t="s">
        <v>32</v>
      </c>
      <c r="C42" s="616" t="s">
        <v>38</v>
      </c>
      <c r="D42" s="616"/>
      <c r="E42" s="29">
        <v>25.98</v>
      </c>
      <c r="F42" s="263">
        <v>3173</v>
      </c>
      <c r="G42" s="255">
        <f t="shared" si="27"/>
        <v>82434.540000000008</v>
      </c>
      <c r="H42" s="33" t="s">
        <v>57</v>
      </c>
      <c r="I42" s="260">
        <v>21</v>
      </c>
      <c r="J42" s="31">
        <v>2400</v>
      </c>
      <c r="K42" s="12">
        <f t="shared" si="1"/>
        <v>114.28571428571429</v>
      </c>
      <c r="L42" s="260">
        <v>21</v>
      </c>
      <c r="M42" s="13">
        <f t="shared" si="28"/>
        <v>2293.7349397590365</v>
      </c>
      <c r="N42" s="12">
        <f t="shared" si="3"/>
        <v>109.22547332185889</v>
      </c>
      <c r="O42" s="14">
        <f t="shared" si="4"/>
        <v>0</v>
      </c>
      <c r="P42" s="15">
        <f t="shared" si="5"/>
        <v>-5.0602409638554064</v>
      </c>
      <c r="Q42" s="256">
        <f t="shared" si="6"/>
        <v>0.95572289156626522</v>
      </c>
      <c r="R42" s="615"/>
      <c r="S42" s="34">
        <v>0.24305555555555555</v>
      </c>
      <c r="T42" s="34">
        <v>0.30069444444444443</v>
      </c>
      <c r="U42" s="255">
        <f t="shared" si="30"/>
        <v>8.0000000000000107</v>
      </c>
      <c r="V42" s="261">
        <f t="shared" si="29"/>
        <v>82.999999999999986</v>
      </c>
      <c r="W42" s="255"/>
      <c r="X42" s="255"/>
      <c r="Y42" s="255"/>
      <c r="Z42" s="255"/>
      <c r="AA42" s="617"/>
      <c r="AB42" s="617"/>
      <c r="AC42" s="35"/>
      <c r="AD42" s="18"/>
      <c r="AE42" s="14">
        <f t="shared" si="8"/>
        <v>-106.26506024096352</v>
      </c>
      <c r="AF42" s="256">
        <f t="shared" si="9"/>
        <v>0.95572289156626522</v>
      </c>
      <c r="AG42" s="615"/>
    </row>
    <row r="43" spans="1:33">
      <c r="A43" s="639" t="s">
        <v>1145</v>
      </c>
      <c r="B43" s="29" t="s">
        <v>32</v>
      </c>
      <c r="C43" s="616" t="s">
        <v>39</v>
      </c>
      <c r="D43" s="616"/>
      <c r="E43" s="29">
        <v>34.1</v>
      </c>
      <c r="F43" s="263">
        <v>3600</v>
      </c>
      <c r="G43" s="255">
        <f t="shared" si="27"/>
        <v>122760</v>
      </c>
      <c r="H43" s="33">
        <v>2</v>
      </c>
      <c r="I43" s="260">
        <v>17</v>
      </c>
      <c r="J43" s="31">
        <v>1600</v>
      </c>
      <c r="K43" s="12">
        <f t="shared" si="1"/>
        <v>94.117647058823536</v>
      </c>
      <c r="L43" s="260">
        <v>17</v>
      </c>
      <c r="M43" s="13">
        <f t="shared" si="28"/>
        <v>1521.1267605633807</v>
      </c>
      <c r="N43" s="12">
        <f t="shared" si="3"/>
        <v>89.478044739022394</v>
      </c>
      <c r="O43" s="14">
        <f t="shared" si="4"/>
        <v>0</v>
      </c>
      <c r="P43" s="15">
        <f t="shared" si="5"/>
        <v>-4.639602319801142</v>
      </c>
      <c r="Q43" s="256">
        <f t="shared" si="6"/>
        <v>0.95070422535211285</v>
      </c>
      <c r="R43" s="615"/>
      <c r="S43" s="34">
        <v>0.30555555555555552</v>
      </c>
      <c r="T43" s="34">
        <v>0.40416666666666662</v>
      </c>
      <c r="U43" s="255">
        <f t="shared" si="30"/>
        <v>6.9999999999999751</v>
      </c>
      <c r="V43" s="261">
        <f t="shared" si="29"/>
        <v>141.99999999999997</v>
      </c>
      <c r="W43" s="16"/>
      <c r="X43" s="16"/>
      <c r="Y43" s="16"/>
      <c r="Z43" s="16"/>
      <c r="AA43" s="617"/>
      <c r="AB43" s="617"/>
      <c r="AC43" s="35"/>
      <c r="AD43" s="18"/>
      <c r="AE43" s="14">
        <f t="shared" si="8"/>
        <v>-78.873239436619315</v>
      </c>
      <c r="AF43" s="256">
        <f t="shared" si="9"/>
        <v>0.95070422535211296</v>
      </c>
      <c r="AG43" s="615"/>
    </row>
    <row r="44" spans="1:33">
      <c r="A44" s="639" t="s">
        <v>1145</v>
      </c>
      <c r="B44" s="29" t="s">
        <v>32</v>
      </c>
      <c r="C44" s="616" t="s">
        <v>84</v>
      </c>
      <c r="D44" s="616"/>
      <c r="E44" s="29">
        <v>20.21</v>
      </c>
      <c r="F44" s="263">
        <v>4263</v>
      </c>
      <c r="G44" s="255">
        <f t="shared" si="27"/>
        <v>86155.23000000001</v>
      </c>
      <c r="H44" s="33" t="s">
        <v>57</v>
      </c>
      <c r="I44" s="260">
        <v>18</v>
      </c>
      <c r="J44" s="31">
        <v>2400</v>
      </c>
      <c r="K44" s="12">
        <f t="shared" si="1"/>
        <v>133.33333333333334</v>
      </c>
      <c r="L44" s="260">
        <v>18</v>
      </c>
      <c r="M44" s="13">
        <f t="shared" si="28"/>
        <v>2283.75</v>
      </c>
      <c r="N44" s="12">
        <f t="shared" si="3"/>
        <v>126.875</v>
      </c>
      <c r="O44" s="14">
        <f t="shared" si="4"/>
        <v>0</v>
      </c>
      <c r="P44" s="15">
        <f t="shared" si="5"/>
        <v>-6.4583333333333428</v>
      </c>
      <c r="Q44" s="256">
        <f t="shared" si="6"/>
        <v>0.95156249999999998</v>
      </c>
      <c r="R44" s="615"/>
      <c r="S44" s="34">
        <v>0.40763888888888883</v>
      </c>
      <c r="T44" s="34">
        <v>0.48541666666666661</v>
      </c>
      <c r="U44" s="255">
        <f t="shared" si="30"/>
        <v>4.9999999999999822</v>
      </c>
      <c r="V44" s="261">
        <f t="shared" si="29"/>
        <v>112</v>
      </c>
      <c r="W44" s="16">
        <f>T44</f>
        <v>0.48541666666666661</v>
      </c>
      <c r="X44" s="16">
        <f>S45</f>
        <v>0.5263888888888888</v>
      </c>
      <c r="Y44" s="16"/>
      <c r="Z44" s="16"/>
      <c r="AA44" s="617"/>
      <c r="AB44" s="617"/>
      <c r="AC44" s="35"/>
      <c r="AD44" s="18"/>
      <c r="AE44" s="14">
        <f t="shared" si="8"/>
        <v>-116.25</v>
      </c>
      <c r="AF44" s="256">
        <f t="shared" si="9"/>
        <v>0.95156249999999998</v>
      </c>
      <c r="AG44" s="615"/>
    </row>
    <row r="45" spans="1:33">
      <c r="A45" s="639" t="s">
        <v>1145</v>
      </c>
      <c r="B45" s="29" t="s">
        <v>32</v>
      </c>
      <c r="C45" s="616" t="s">
        <v>39</v>
      </c>
      <c r="D45" s="616"/>
      <c r="E45" s="29">
        <v>34.1</v>
      </c>
      <c r="F45" s="263">
        <v>2767</v>
      </c>
      <c r="G45" s="255">
        <f t="shared" si="27"/>
        <v>94354.7</v>
      </c>
      <c r="H45" s="33" t="s">
        <v>57</v>
      </c>
      <c r="I45" s="260">
        <v>17</v>
      </c>
      <c r="J45" s="31">
        <v>1600</v>
      </c>
      <c r="K45" s="12">
        <f t="shared" si="1"/>
        <v>94.117647058823536</v>
      </c>
      <c r="L45" s="260">
        <v>17</v>
      </c>
      <c r="M45" s="13">
        <f t="shared" si="28"/>
        <v>1537.2222222222231</v>
      </c>
      <c r="N45" s="12">
        <f t="shared" si="3"/>
        <v>90.424836601307234</v>
      </c>
      <c r="O45" s="14">
        <f t="shared" si="4"/>
        <v>0</v>
      </c>
      <c r="P45" s="15">
        <f t="shared" si="5"/>
        <v>-3.6928104575163019</v>
      </c>
      <c r="Q45" s="256">
        <f t="shared" si="6"/>
        <v>0.96076388888888931</v>
      </c>
      <c r="R45" s="615"/>
      <c r="S45" s="34">
        <v>0.5263888888888888</v>
      </c>
      <c r="T45" s="34">
        <v>0.60138888888888875</v>
      </c>
      <c r="U45" s="255">
        <f t="shared" si="30"/>
        <v>58.99999999999995</v>
      </c>
      <c r="V45" s="261">
        <f t="shared" si="29"/>
        <v>107.99999999999994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-62.777777777776919</v>
      </c>
      <c r="AF45" s="256">
        <f t="shared" si="9"/>
        <v>0.96076388888888942</v>
      </c>
      <c r="AG45" s="615"/>
    </row>
    <row r="46" spans="1:33">
      <c r="A46" s="639" t="s">
        <v>1145</v>
      </c>
      <c r="B46" s="29" t="s">
        <v>32</v>
      </c>
      <c r="C46" s="616" t="s">
        <v>37</v>
      </c>
      <c r="D46" s="616"/>
      <c r="E46" s="29">
        <v>24.43</v>
      </c>
      <c r="F46" s="263">
        <v>2647</v>
      </c>
      <c r="G46" s="255">
        <f t="shared" si="27"/>
        <v>64666.21</v>
      </c>
      <c r="H46" s="33" t="s">
        <v>57</v>
      </c>
      <c r="I46" s="260">
        <v>14</v>
      </c>
      <c r="J46" s="31">
        <v>2400</v>
      </c>
      <c r="K46" s="12">
        <f t="shared" si="1"/>
        <v>171.42857142857142</v>
      </c>
      <c r="L46" s="260">
        <v>14</v>
      </c>
      <c r="M46" s="13">
        <f t="shared" si="28"/>
        <v>2301.7391304347857</v>
      </c>
      <c r="N46" s="12">
        <f t="shared" si="3"/>
        <v>164.40993788819898</v>
      </c>
      <c r="O46" s="14">
        <f t="shared" si="4"/>
        <v>0</v>
      </c>
      <c r="P46" s="15">
        <f t="shared" si="5"/>
        <v>-7.0186335403724343</v>
      </c>
      <c r="Q46" s="256">
        <f t="shared" si="6"/>
        <v>0.95905797101449408</v>
      </c>
      <c r="R46" s="615"/>
      <c r="S46" s="34">
        <v>0.6055555555555554</v>
      </c>
      <c r="T46" s="34">
        <v>0.65347222222222201</v>
      </c>
      <c r="U46" s="255">
        <f t="shared" si="30"/>
        <v>5.9999999999999787</v>
      </c>
      <c r="V46" s="261">
        <f t="shared" si="29"/>
        <v>68.999999999999915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-98.260869565214307</v>
      </c>
      <c r="AF46" s="256">
        <f t="shared" si="9"/>
        <v>0.95905797101449408</v>
      </c>
      <c r="AG46" s="615"/>
    </row>
    <row r="47" spans="1:33">
      <c r="A47" s="639" t="s">
        <v>1145</v>
      </c>
      <c r="B47" s="29" t="s">
        <v>32</v>
      </c>
      <c r="C47" s="616" t="s">
        <v>77</v>
      </c>
      <c r="D47" s="616"/>
      <c r="E47" s="29">
        <v>26.18</v>
      </c>
      <c r="F47" s="263">
        <v>2483</v>
      </c>
      <c r="G47" s="255">
        <f t="shared" si="27"/>
        <v>65004.94</v>
      </c>
      <c r="H47" s="33" t="s">
        <v>57</v>
      </c>
      <c r="I47" s="260">
        <v>20</v>
      </c>
      <c r="J47" s="31">
        <v>2400</v>
      </c>
      <c r="K47" s="12">
        <f t="shared" si="1"/>
        <v>120</v>
      </c>
      <c r="L47" s="260">
        <v>20</v>
      </c>
      <c r="M47" s="13">
        <f t="shared" si="28"/>
        <v>2292.0000000000023</v>
      </c>
      <c r="N47" s="12">
        <f t="shared" si="3"/>
        <v>114.60000000000011</v>
      </c>
      <c r="O47" s="14">
        <f t="shared" si="4"/>
        <v>0</v>
      </c>
      <c r="P47" s="15">
        <f t="shared" si="5"/>
        <v>-5.399999999999892</v>
      </c>
      <c r="Q47" s="256">
        <f t="shared" si="6"/>
        <v>0.95500000000000085</v>
      </c>
      <c r="R47" s="615"/>
      <c r="S47" s="34">
        <v>0.65902777777777755</v>
      </c>
      <c r="T47" s="34">
        <v>0.70416666666666639</v>
      </c>
      <c r="U47" s="255">
        <f t="shared" si="30"/>
        <v>7.9999999999999716</v>
      </c>
      <c r="V47" s="261">
        <f t="shared" si="29"/>
        <v>64.999999999999929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-107.99999999999773</v>
      </c>
      <c r="AF47" s="256">
        <f t="shared" si="9"/>
        <v>0.95500000000000096</v>
      </c>
      <c r="AG47" s="615"/>
    </row>
    <row r="48" spans="1:33">
      <c r="A48" s="639" t="s">
        <v>1147</v>
      </c>
      <c r="B48" s="30" t="s">
        <v>1148</v>
      </c>
      <c r="C48" s="618"/>
      <c r="D48" s="618"/>
      <c r="E48" s="257"/>
      <c r="F48" s="30"/>
      <c r="G48" s="12"/>
      <c r="H48" s="263"/>
      <c r="I48" s="23">
        <v>17.625</v>
      </c>
      <c r="J48" s="31">
        <v>2200</v>
      </c>
      <c r="K48" s="12">
        <f t="shared" si="1"/>
        <v>124.822695035461</v>
      </c>
      <c r="L48" s="23">
        <v>17.625</v>
      </c>
      <c r="M48" s="13">
        <f>AVERAGE(M40:M47)</f>
        <v>2103.809462054408</v>
      </c>
      <c r="N48" s="12">
        <f t="shared" si="3"/>
        <v>119.365075861243</v>
      </c>
      <c r="O48" s="14">
        <f t="shared" si="4"/>
        <v>0</v>
      </c>
      <c r="P48" s="15">
        <f t="shared" si="5"/>
        <v>-5.4576191742179958</v>
      </c>
      <c r="Q48" s="256">
        <f t="shared" si="6"/>
        <v>0.95627702820654903</v>
      </c>
      <c r="R48" s="615"/>
      <c r="S48" s="34"/>
      <c r="T48" s="34"/>
      <c r="U48" s="12"/>
      <c r="V48" s="261"/>
      <c r="W48" s="12"/>
      <c r="X48" s="12"/>
      <c r="Y48" s="24">
        <f>SUM(Y40:Y47)</f>
        <v>0</v>
      </c>
      <c r="Z48" s="24">
        <f>SUM(Z40:Z47)</f>
        <v>0</v>
      </c>
      <c r="AA48" s="614"/>
      <c r="AB48" s="614"/>
      <c r="AC48" s="24">
        <v>8</v>
      </c>
      <c r="AD48" s="24">
        <f>SUM(AD40:AD47)</f>
        <v>0</v>
      </c>
      <c r="AE48" s="14">
        <f t="shared" si="8"/>
        <v>-96.190537945592041</v>
      </c>
      <c r="AF48" s="256">
        <f t="shared" si="9"/>
        <v>0.95627702820654903</v>
      </c>
      <c r="AG48" s="615"/>
    </row>
    <row r="49" spans="1:33" ht="15.75" customHeight="1">
      <c r="A49" s="632" t="s">
        <v>12</v>
      </c>
      <c r="B49" s="29" t="s">
        <v>40</v>
      </c>
      <c r="C49" s="622" t="s">
        <v>41</v>
      </c>
      <c r="D49" s="623"/>
      <c r="E49" s="29">
        <v>37.880000000000003</v>
      </c>
      <c r="F49" s="263">
        <v>1046</v>
      </c>
      <c r="G49" s="255">
        <f t="shared" ref="G49:G52" si="31">E49*F49</f>
        <v>39622.480000000003</v>
      </c>
      <c r="H49" s="33" t="s">
        <v>57</v>
      </c>
      <c r="I49" s="260">
        <v>13</v>
      </c>
      <c r="J49" s="31">
        <v>2000</v>
      </c>
      <c r="K49" s="12">
        <f t="shared" si="1"/>
        <v>153.84615384615384</v>
      </c>
      <c r="L49" s="260">
        <v>13</v>
      </c>
      <c r="M49" s="13">
        <f t="shared" ref="M49:M52" si="32">F49/V49*60</f>
        <v>1961.2499999999995</v>
      </c>
      <c r="N49" s="13">
        <f t="shared" si="3"/>
        <v>150.86538461538458</v>
      </c>
      <c r="O49" s="14">
        <f t="shared" si="4"/>
        <v>0</v>
      </c>
      <c r="P49" s="15">
        <f t="shared" si="5"/>
        <v>-2.9807692307692548</v>
      </c>
      <c r="Q49" s="256">
        <f t="shared" si="6"/>
        <v>0.98062499999999986</v>
      </c>
      <c r="R49" s="635">
        <f>Q53</f>
        <v>0.96182234386035692</v>
      </c>
      <c r="S49" s="34">
        <v>8.3333333333333329E-2</v>
      </c>
      <c r="T49" s="34">
        <v>0.10555555555555556</v>
      </c>
      <c r="U49" s="21"/>
      <c r="V49" s="261">
        <f t="shared" ref="V49:V52" si="33">(T49-S49)*24*60</f>
        <v>32.000000000000007</v>
      </c>
      <c r="W49" s="16">
        <f>T49</f>
        <v>0.10555555555555556</v>
      </c>
      <c r="X49" s="16">
        <f>S50</f>
        <v>0.12430555555555556</v>
      </c>
      <c r="Y49" s="19"/>
      <c r="Z49" s="19"/>
      <c r="AA49" s="624"/>
      <c r="AB49" s="625"/>
      <c r="AC49" s="35">
        <v>4</v>
      </c>
      <c r="AD49" s="18"/>
      <c r="AE49" s="14">
        <f t="shared" si="8"/>
        <v>-38.750000000000455</v>
      </c>
      <c r="AF49" s="256">
        <f t="shared" si="9"/>
        <v>0.98062499999999975</v>
      </c>
      <c r="AG49" s="635">
        <f>AF53</f>
        <v>0.96182234386035703</v>
      </c>
    </row>
    <row r="50" spans="1:33" ht="15.75" customHeight="1">
      <c r="A50" s="633" t="s">
        <v>12</v>
      </c>
      <c r="B50" s="29" t="s">
        <v>40</v>
      </c>
      <c r="C50" s="622" t="s">
        <v>42</v>
      </c>
      <c r="D50" s="623"/>
      <c r="E50" s="29">
        <v>35.119999999999997</v>
      </c>
      <c r="F50" s="263">
        <v>4891</v>
      </c>
      <c r="G50" s="255">
        <f t="shared" si="31"/>
        <v>171771.91999999998</v>
      </c>
      <c r="H50" s="33" t="s">
        <v>57</v>
      </c>
      <c r="I50" s="260">
        <v>10</v>
      </c>
      <c r="J50" s="31">
        <v>3000</v>
      </c>
      <c r="K50" s="12">
        <f t="shared" si="1"/>
        <v>300</v>
      </c>
      <c r="L50" s="260">
        <v>10</v>
      </c>
      <c r="M50" s="13">
        <f t="shared" si="32"/>
        <v>2877.0588235294117</v>
      </c>
      <c r="N50" s="13">
        <f t="shared" si="3"/>
        <v>287.70588235294116</v>
      </c>
      <c r="O50" s="14">
        <f t="shared" si="4"/>
        <v>0</v>
      </c>
      <c r="P50" s="15">
        <f t="shared" si="5"/>
        <v>-12.29411764705884</v>
      </c>
      <c r="Q50" s="256">
        <f t="shared" si="6"/>
        <v>0.95901960784313722</v>
      </c>
      <c r="R50" s="636"/>
      <c r="S50" s="34">
        <v>0.12430555555555556</v>
      </c>
      <c r="T50" s="34">
        <v>0.19513888888888889</v>
      </c>
      <c r="U50" s="255">
        <f t="shared" ref="U50:U52" si="34">(S50-T49)*24*60</f>
        <v>27.000000000000004</v>
      </c>
      <c r="V50" s="261">
        <f t="shared" si="33"/>
        <v>102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-122.94117647058829</v>
      </c>
      <c r="AF50" s="256">
        <f t="shared" si="9"/>
        <v>0.95901960784313722</v>
      </c>
      <c r="AG50" s="636"/>
    </row>
    <row r="51" spans="1:33" ht="15.75" customHeight="1">
      <c r="A51" s="633" t="s">
        <v>1149</v>
      </c>
      <c r="B51" s="29" t="s">
        <v>40</v>
      </c>
      <c r="C51" s="622" t="s">
        <v>43</v>
      </c>
      <c r="D51" s="623"/>
      <c r="E51" s="29">
        <v>21.13</v>
      </c>
      <c r="F51" s="263">
        <v>5076</v>
      </c>
      <c r="G51" s="255">
        <f t="shared" si="31"/>
        <v>107255.87999999999</v>
      </c>
      <c r="H51" s="33" t="s">
        <v>57</v>
      </c>
      <c r="I51" s="260">
        <v>10</v>
      </c>
      <c r="J51" s="31">
        <v>3000</v>
      </c>
      <c r="K51" s="12">
        <f t="shared" si="1"/>
        <v>300</v>
      </c>
      <c r="L51" s="260">
        <v>10</v>
      </c>
      <c r="M51" s="13">
        <f t="shared" si="32"/>
        <v>2873.2075471698108</v>
      </c>
      <c r="N51" s="13">
        <f t="shared" si="3"/>
        <v>287.32075471698107</v>
      </c>
      <c r="O51" s="14">
        <f t="shared" si="4"/>
        <v>0</v>
      </c>
      <c r="P51" s="15">
        <f t="shared" si="5"/>
        <v>-12.679245283018929</v>
      </c>
      <c r="Q51" s="256">
        <f t="shared" si="6"/>
        <v>0.95773584905660358</v>
      </c>
      <c r="R51" s="636"/>
      <c r="S51" s="34">
        <v>0.2</v>
      </c>
      <c r="T51" s="34">
        <v>0.27361111111111114</v>
      </c>
      <c r="U51" s="255">
        <f t="shared" si="34"/>
        <v>7.0000000000000151</v>
      </c>
      <c r="V51" s="261">
        <f t="shared" si="33"/>
        <v>106.00000000000003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-126.79245283018918</v>
      </c>
      <c r="AF51" s="256">
        <f t="shared" si="9"/>
        <v>0.95773584905660358</v>
      </c>
      <c r="AG51" s="636"/>
    </row>
    <row r="52" spans="1:33" ht="15.75" customHeight="1">
      <c r="A52" s="633" t="s">
        <v>1149</v>
      </c>
      <c r="B52" s="29" t="s">
        <v>40</v>
      </c>
      <c r="C52" s="622" t="s">
        <v>44</v>
      </c>
      <c r="D52" s="623"/>
      <c r="E52" s="29">
        <v>27.17</v>
      </c>
      <c r="F52" s="263">
        <v>6502</v>
      </c>
      <c r="G52" s="255">
        <f t="shared" si="31"/>
        <v>176659.34000000003</v>
      </c>
      <c r="H52" s="33" t="s">
        <v>57</v>
      </c>
      <c r="I52" s="260">
        <v>10</v>
      </c>
      <c r="J52" s="31">
        <v>3000</v>
      </c>
      <c r="K52" s="12">
        <f t="shared" si="1"/>
        <v>300</v>
      </c>
      <c r="L52" s="260">
        <v>10</v>
      </c>
      <c r="M52" s="13">
        <f t="shared" si="32"/>
        <v>2868.5294117647063</v>
      </c>
      <c r="N52" s="13">
        <f t="shared" si="3"/>
        <v>286.85294117647061</v>
      </c>
      <c r="O52" s="14">
        <f t="shared" si="4"/>
        <v>0</v>
      </c>
      <c r="P52" s="15">
        <f t="shared" si="5"/>
        <v>-13.147058823529392</v>
      </c>
      <c r="Q52" s="256">
        <f t="shared" si="6"/>
        <v>0.95617647058823541</v>
      </c>
      <c r="R52" s="636"/>
      <c r="S52" s="34">
        <v>0.27916666666666667</v>
      </c>
      <c r="T52" s="34">
        <v>0.37361111111111112</v>
      </c>
      <c r="U52" s="255">
        <f t="shared" si="34"/>
        <v>7.9999999999999716</v>
      </c>
      <c r="V52" s="261">
        <f t="shared" si="33"/>
        <v>136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-131.47058823529369</v>
      </c>
      <c r="AF52" s="256">
        <f t="shared" si="9"/>
        <v>0.95617647058823541</v>
      </c>
      <c r="AG52" s="636"/>
    </row>
    <row r="53" spans="1:33" ht="15.75" customHeight="1">
      <c r="A53" s="634" t="s">
        <v>1150</v>
      </c>
      <c r="B53" s="29" t="s">
        <v>1148</v>
      </c>
      <c r="C53" s="612"/>
      <c r="D53" s="613"/>
      <c r="E53" s="253"/>
      <c r="F53" s="263"/>
      <c r="G53" s="255"/>
      <c r="H53" s="263"/>
      <c r="I53" s="23">
        <v>10.75</v>
      </c>
      <c r="J53" s="31">
        <v>2750</v>
      </c>
      <c r="K53" s="12">
        <f t="shared" si="1"/>
        <v>255.81395348837211</v>
      </c>
      <c r="L53" s="23">
        <v>10.75</v>
      </c>
      <c r="M53" s="13">
        <f>AVERAGE(M49:M52)</f>
        <v>2645.0114456159818</v>
      </c>
      <c r="N53" s="12">
        <f t="shared" si="3"/>
        <v>246.04757633637038</v>
      </c>
      <c r="O53" s="14">
        <f t="shared" si="4"/>
        <v>0</v>
      </c>
      <c r="P53" s="15">
        <f t="shared" si="5"/>
        <v>-9.7663771520017235</v>
      </c>
      <c r="Q53" s="256">
        <f t="shared" si="6"/>
        <v>0.96182234386035692</v>
      </c>
      <c r="R53" s="637"/>
      <c r="S53" s="34"/>
      <c r="T53" s="34"/>
      <c r="U53" s="255"/>
      <c r="V53" s="261"/>
      <c r="W53" s="16"/>
      <c r="X53" s="16"/>
      <c r="Y53" s="24">
        <f>SUM(Y49:Y52)</f>
        <v>0</v>
      </c>
      <c r="Z53" s="24">
        <f>SUM(Z49:Z52)</f>
        <v>0</v>
      </c>
      <c r="AA53" s="628"/>
      <c r="AB53" s="629"/>
      <c r="AC53" s="24">
        <v>4</v>
      </c>
      <c r="AD53" s="24">
        <f>SUM(AD49:AD52)</f>
        <v>0</v>
      </c>
      <c r="AE53" s="14">
        <f t="shared" si="8"/>
        <v>-104.98855438401824</v>
      </c>
      <c r="AF53" s="256">
        <f t="shared" si="9"/>
        <v>0.96182234386035703</v>
      </c>
      <c r="AG53" s="637"/>
    </row>
    <row r="54" spans="1:33" ht="15.75" customHeight="1">
      <c r="A54" s="630" t="s">
        <v>1151</v>
      </c>
      <c r="B54" s="29" t="s">
        <v>15</v>
      </c>
      <c r="C54" s="616" t="s">
        <v>47</v>
      </c>
      <c r="D54" s="616"/>
      <c r="E54" s="29">
        <v>51.75</v>
      </c>
      <c r="F54" s="32">
        <v>855</v>
      </c>
      <c r="G54" s="255">
        <f t="shared" ref="G54:G60" si="35">E54*F54</f>
        <v>44246.25</v>
      </c>
      <c r="H54" s="33" t="s">
        <v>57</v>
      </c>
      <c r="I54" s="260">
        <v>25</v>
      </c>
      <c r="J54" s="31">
        <v>2000</v>
      </c>
      <c r="K54" s="12">
        <f t="shared" si="1"/>
        <v>80</v>
      </c>
      <c r="L54" s="260">
        <v>25</v>
      </c>
      <c r="M54" s="13">
        <f t="shared" ref="M54" si="36">F54/V54*60</f>
        <v>1973.076923076924</v>
      </c>
      <c r="N54" s="13">
        <f t="shared" si="3"/>
        <v>78.923076923076962</v>
      </c>
      <c r="O54" s="14">
        <f t="shared" si="4"/>
        <v>0</v>
      </c>
      <c r="P54" s="15">
        <f t="shared" si="5"/>
        <v>-1.0769230769230376</v>
      </c>
      <c r="Q54" s="256">
        <f t="shared" si="6"/>
        <v>0.98653846153846203</v>
      </c>
      <c r="R54" s="615">
        <f>Q61</f>
        <v>0.96143768136637831</v>
      </c>
      <c r="S54" s="34">
        <v>0.16666666666666666</v>
      </c>
      <c r="T54" s="34">
        <v>0.1847222222222222</v>
      </c>
      <c r="U54" s="21"/>
      <c r="V54" s="261">
        <f t="shared" ref="V54:V60" si="37">(T54-S54)*24*60</f>
        <v>25.999999999999986</v>
      </c>
      <c r="W54" s="16"/>
      <c r="X54" s="16"/>
      <c r="Y54" s="21"/>
      <c r="Z54" s="21"/>
      <c r="AA54" s="617"/>
      <c r="AB54" s="617"/>
      <c r="AC54" s="35">
        <v>7</v>
      </c>
      <c r="AD54" s="18"/>
      <c r="AE54" s="14">
        <f t="shared" si="8"/>
        <v>-26.923076923075996</v>
      </c>
      <c r="AF54" s="256">
        <f t="shared" si="9"/>
        <v>0.98653846153846203</v>
      </c>
      <c r="AG54" s="615">
        <f>AF61</f>
        <v>0.96143768136637831</v>
      </c>
    </row>
    <row r="55" spans="1:33" ht="15.75" customHeight="1">
      <c r="A55" s="630" t="s">
        <v>181</v>
      </c>
      <c r="B55" s="29" t="s">
        <v>15</v>
      </c>
      <c r="C55" s="616" t="s">
        <v>46</v>
      </c>
      <c r="D55" s="616"/>
      <c r="E55" s="29">
        <v>56.43</v>
      </c>
      <c r="F55" s="32">
        <v>1493</v>
      </c>
      <c r="G55" s="255">
        <f t="shared" si="35"/>
        <v>84249.99</v>
      </c>
      <c r="H55" s="33" t="s">
        <v>57</v>
      </c>
      <c r="I55" s="260">
        <v>22</v>
      </c>
      <c r="J55" s="31">
        <v>2000</v>
      </c>
      <c r="K55" s="12">
        <f t="shared" si="1"/>
        <v>90.909090909090907</v>
      </c>
      <c r="L55" s="260">
        <v>22</v>
      </c>
      <c r="M55" s="13">
        <f>F55/V55*60</f>
        <v>1905.9574468085109</v>
      </c>
      <c r="N55" s="13">
        <f t="shared" si="3"/>
        <v>86.634429400386864</v>
      </c>
      <c r="O55" s="14">
        <f t="shared" si="4"/>
        <v>0</v>
      </c>
      <c r="P55" s="15">
        <f t="shared" si="5"/>
        <v>-4.2746615087040425</v>
      </c>
      <c r="Q55" s="256">
        <f t="shared" si="6"/>
        <v>0.95297872340425549</v>
      </c>
      <c r="R55" s="615"/>
      <c r="S55" s="34">
        <v>0.19027777777777777</v>
      </c>
      <c r="T55" s="34">
        <v>0.22291666666666665</v>
      </c>
      <c r="U55" s="255">
        <f t="shared" ref="U55:U60" si="38">IF(S55=TIME(17,0,0),"",(S55-T54)*24*60)</f>
        <v>8.0000000000000107</v>
      </c>
      <c r="V55" s="261">
        <f t="shared" si="37"/>
        <v>46.999999999999993</v>
      </c>
      <c r="W55" s="16">
        <f>T55</f>
        <v>0.22291666666666665</v>
      </c>
      <c r="X55" s="16">
        <f>S56</f>
        <v>0.24166666666666667</v>
      </c>
      <c r="Y55" s="16"/>
      <c r="Z55" s="16"/>
      <c r="AA55" s="617"/>
      <c r="AB55" s="617"/>
      <c r="AC55" s="35"/>
      <c r="AD55" s="18"/>
      <c r="AE55" s="14">
        <f t="shared" si="8"/>
        <v>-94.042553191489105</v>
      </c>
      <c r="AF55" s="256">
        <f t="shared" si="9"/>
        <v>0.95297872340425549</v>
      </c>
      <c r="AG55" s="615"/>
    </row>
    <row r="56" spans="1:33" ht="15.75" customHeight="1">
      <c r="A56" s="630" t="s">
        <v>181</v>
      </c>
      <c r="B56" s="29" t="s">
        <v>19</v>
      </c>
      <c r="C56" s="622" t="s">
        <v>81</v>
      </c>
      <c r="D56" s="623"/>
      <c r="E56" s="29">
        <v>46</v>
      </c>
      <c r="F56" s="32">
        <v>3054</v>
      </c>
      <c r="G56" s="255">
        <f t="shared" si="35"/>
        <v>140484</v>
      </c>
      <c r="H56" s="33" t="s">
        <v>57</v>
      </c>
      <c r="I56" s="260">
        <v>16</v>
      </c>
      <c r="J56" s="31">
        <v>2000</v>
      </c>
      <c r="K56" s="12">
        <f t="shared" si="1"/>
        <v>125</v>
      </c>
      <c r="L56" s="260">
        <v>16</v>
      </c>
      <c r="M56" s="13">
        <f t="shared" ref="M56:M60" si="39">F56/V56*60</f>
        <v>1908.7499999999998</v>
      </c>
      <c r="N56" s="13">
        <f t="shared" si="3"/>
        <v>119.29687499999999</v>
      </c>
      <c r="O56" s="14">
        <f t="shared" si="4"/>
        <v>0</v>
      </c>
      <c r="P56" s="15">
        <f t="shared" si="5"/>
        <v>-5.7031250000000142</v>
      </c>
      <c r="Q56" s="256">
        <f t="shared" si="6"/>
        <v>0.95437499999999986</v>
      </c>
      <c r="R56" s="615"/>
      <c r="S56" s="34">
        <v>0.24166666666666667</v>
      </c>
      <c r="T56" s="34">
        <v>0.30833333333333335</v>
      </c>
      <c r="U56" s="255">
        <f t="shared" si="38"/>
        <v>27.000000000000025</v>
      </c>
      <c r="V56" s="261">
        <f t="shared" si="37"/>
        <v>96.000000000000014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-91.250000000000227</v>
      </c>
      <c r="AF56" s="256">
        <f t="shared" si="9"/>
        <v>0.95437499999999986</v>
      </c>
      <c r="AG56" s="615"/>
    </row>
    <row r="57" spans="1:33" ht="15.75" customHeight="1">
      <c r="A57" s="630" t="s">
        <v>181</v>
      </c>
      <c r="B57" s="29" t="s">
        <v>19</v>
      </c>
      <c r="C57" s="249" t="s">
        <v>945</v>
      </c>
      <c r="D57" s="250"/>
      <c r="E57" s="29">
        <v>46</v>
      </c>
      <c r="F57" s="32">
        <v>5049</v>
      </c>
      <c r="G57" s="255">
        <f t="shared" si="35"/>
        <v>232254</v>
      </c>
      <c r="H57" s="33" t="s">
        <v>57</v>
      </c>
      <c r="I57" s="260">
        <v>17</v>
      </c>
      <c r="J57" s="31">
        <v>2000</v>
      </c>
      <c r="K57" s="12">
        <f t="shared" si="1"/>
        <v>117.64705882352941</v>
      </c>
      <c r="L57" s="260">
        <v>17</v>
      </c>
      <c r="M57" s="13">
        <f t="shared" si="39"/>
        <v>1905.2830188679245</v>
      </c>
      <c r="N57" s="13">
        <f t="shared" si="3"/>
        <v>112.0754716981132</v>
      </c>
      <c r="O57" s="14">
        <f t="shared" si="4"/>
        <v>0</v>
      </c>
      <c r="P57" s="15">
        <f t="shared" si="5"/>
        <v>-5.571587125416201</v>
      </c>
      <c r="Q57" s="256">
        <f t="shared" si="6"/>
        <v>0.95264150943396231</v>
      </c>
      <c r="R57" s="615"/>
      <c r="S57" s="34">
        <v>0.31319444444444444</v>
      </c>
      <c r="T57" s="34">
        <v>0.4236111111111111</v>
      </c>
      <c r="U57" s="255">
        <f t="shared" si="38"/>
        <v>6.9999999999999751</v>
      </c>
      <c r="V57" s="261">
        <f t="shared" si="37"/>
        <v>159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-94.716981132075489</v>
      </c>
      <c r="AF57" s="256">
        <f t="shared" si="9"/>
        <v>0.95264150943396231</v>
      </c>
      <c r="AG57" s="615"/>
    </row>
    <row r="58" spans="1:33" ht="15.75" customHeight="1">
      <c r="A58" s="630" t="s">
        <v>1152</v>
      </c>
      <c r="B58" s="29" t="s">
        <v>15</v>
      </c>
      <c r="C58" s="249" t="s">
        <v>27</v>
      </c>
      <c r="D58" s="250"/>
      <c r="E58" s="29">
        <v>59.04</v>
      </c>
      <c r="F58" s="32">
        <v>3041</v>
      </c>
      <c r="G58" s="255">
        <f t="shared" si="35"/>
        <v>179540.63999999998</v>
      </c>
      <c r="H58" s="33" t="s">
        <v>57</v>
      </c>
      <c r="I58" s="260">
        <v>19</v>
      </c>
      <c r="J58" s="31">
        <v>2000</v>
      </c>
      <c r="K58" s="12">
        <f t="shared" si="1"/>
        <v>105.26315789473684</v>
      </c>
      <c r="L58" s="260">
        <v>19</v>
      </c>
      <c r="M58" s="13">
        <f t="shared" si="39"/>
        <v>1920.6315789473686</v>
      </c>
      <c r="N58" s="13">
        <f t="shared" si="3"/>
        <v>101.08587257617729</v>
      </c>
      <c r="O58" s="14">
        <f t="shared" si="4"/>
        <v>0</v>
      </c>
      <c r="P58" s="15">
        <f t="shared" si="5"/>
        <v>-4.1772853185595409</v>
      </c>
      <c r="Q58" s="256">
        <f t="shared" si="6"/>
        <v>0.96031578947368434</v>
      </c>
      <c r="R58" s="615"/>
      <c r="S58" s="34">
        <v>0.42916666666666664</v>
      </c>
      <c r="T58" s="34">
        <v>0.49513888888888885</v>
      </c>
      <c r="U58" s="255">
        <f t="shared" si="38"/>
        <v>7.9999999999999716</v>
      </c>
      <c r="V58" s="261">
        <f t="shared" si="37"/>
        <v>94.999999999999986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-79.368421052631447</v>
      </c>
      <c r="AF58" s="256">
        <f t="shared" si="9"/>
        <v>0.96031578947368423</v>
      </c>
      <c r="AG58" s="615"/>
    </row>
    <row r="59" spans="1:33" ht="15.75" customHeight="1">
      <c r="A59" s="630" t="s">
        <v>1152</v>
      </c>
      <c r="B59" s="29" t="s">
        <v>15</v>
      </c>
      <c r="C59" s="622" t="s">
        <v>48</v>
      </c>
      <c r="D59" s="623"/>
      <c r="E59" s="29">
        <v>55.56</v>
      </c>
      <c r="F59" s="32">
        <v>2251</v>
      </c>
      <c r="G59" s="255">
        <f t="shared" si="35"/>
        <v>125065.56000000001</v>
      </c>
      <c r="H59" s="33" t="s">
        <v>57</v>
      </c>
      <c r="I59" s="260">
        <v>17</v>
      </c>
      <c r="J59" s="31">
        <v>2000</v>
      </c>
      <c r="K59" s="12">
        <f t="shared" si="1"/>
        <v>117.64705882352941</v>
      </c>
      <c r="L59" s="260">
        <v>17</v>
      </c>
      <c r="M59" s="13">
        <f t="shared" si="39"/>
        <v>1929.4285714285693</v>
      </c>
      <c r="N59" s="13">
        <f t="shared" si="3"/>
        <v>113.4957983193276</v>
      </c>
      <c r="O59" s="14">
        <f t="shared" si="4"/>
        <v>0</v>
      </c>
      <c r="P59" s="15">
        <f t="shared" si="5"/>
        <v>-4.1512605042018009</v>
      </c>
      <c r="Q59" s="256">
        <f t="shared" si="6"/>
        <v>0.96471428571428464</v>
      </c>
      <c r="R59" s="615"/>
      <c r="S59" s="34">
        <v>0.70833333333333337</v>
      </c>
      <c r="T59" s="34">
        <v>0.75694444444444453</v>
      </c>
      <c r="U59" s="255" t="str">
        <f t="shared" si="38"/>
        <v/>
      </c>
      <c r="V59" s="261">
        <f t="shared" si="37"/>
        <v>70.000000000000071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-70.571428571430715</v>
      </c>
      <c r="AF59" s="256">
        <f t="shared" si="9"/>
        <v>0.96471428571428464</v>
      </c>
      <c r="AG59" s="615"/>
    </row>
    <row r="60" spans="1:33" ht="15.75" customHeight="1">
      <c r="A60" s="630" t="s">
        <v>181</v>
      </c>
      <c r="B60" s="29" t="s">
        <v>15</v>
      </c>
      <c r="C60" s="622" t="s">
        <v>841</v>
      </c>
      <c r="D60" s="623"/>
      <c r="E60" s="29">
        <v>54.09</v>
      </c>
      <c r="F60" s="32">
        <v>2556</v>
      </c>
      <c r="G60" s="255">
        <f t="shared" si="35"/>
        <v>138254.04</v>
      </c>
      <c r="H60" s="33" t="s">
        <v>57</v>
      </c>
      <c r="I60" s="260">
        <v>13</v>
      </c>
      <c r="J60" s="31">
        <v>2000</v>
      </c>
      <c r="K60" s="12">
        <f t="shared" si="1"/>
        <v>153.84615384615384</v>
      </c>
      <c r="L60" s="260">
        <v>13</v>
      </c>
      <c r="M60" s="13">
        <f t="shared" si="39"/>
        <v>1916.9999999999993</v>
      </c>
      <c r="N60" s="13">
        <f t="shared" si="3"/>
        <v>147.4615384615384</v>
      </c>
      <c r="O60" s="14">
        <f t="shared" si="4"/>
        <v>0</v>
      </c>
      <c r="P60" s="15">
        <f t="shared" si="5"/>
        <v>-6.3846153846154436</v>
      </c>
      <c r="Q60" s="256">
        <f t="shared" si="6"/>
        <v>0.95849999999999957</v>
      </c>
      <c r="R60" s="615"/>
      <c r="S60" s="34">
        <v>0.76111111111111118</v>
      </c>
      <c r="T60" s="34">
        <v>0.81666666666666676</v>
      </c>
      <c r="U60" s="255">
        <f t="shared" si="38"/>
        <v>5.9999999999999787</v>
      </c>
      <c r="V60" s="261">
        <f t="shared" si="37"/>
        <v>80.000000000000028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-83.000000000000682</v>
      </c>
      <c r="AF60" s="256">
        <f t="shared" si="9"/>
        <v>0.95849999999999969</v>
      </c>
      <c r="AG60" s="615"/>
    </row>
    <row r="61" spans="1:33">
      <c r="A61" s="631" t="s">
        <v>181</v>
      </c>
      <c r="B61" s="29" t="s">
        <v>6</v>
      </c>
      <c r="C61" s="618"/>
      <c r="D61" s="618"/>
      <c r="E61" s="257"/>
      <c r="F61" s="30"/>
      <c r="G61" s="12"/>
      <c r="H61" s="263"/>
      <c r="I61" s="23">
        <v>18.428571428571427</v>
      </c>
      <c r="J61" s="31">
        <v>2000</v>
      </c>
      <c r="K61" s="12">
        <f t="shared" si="1"/>
        <v>108.52713178294574</v>
      </c>
      <c r="L61" s="23">
        <v>18.428571428571427</v>
      </c>
      <c r="M61" s="13">
        <f>AVERAGE(M54:M60)</f>
        <v>1922.8753627327567</v>
      </c>
      <c r="N61" s="12">
        <f t="shared" si="3"/>
        <v>104.34207394673874</v>
      </c>
      <c r="O61" s="14">
        <f t="shared" si="4"/>
        <v>0</v>
      </c>
      <c r="P61" s="15">
        <f t="shared" si="5"/>
        <v>-4.1850578362070081</v>
      </c>
      <c r="Q61" s="256">
        <f t="shared" si="6"/>
        <v>0.96143768136637831</v>
      </c>
      <c r="R61" s="615"/>
      <c r="S61" s="34"/>
      <c r="T61" s="34"/>
      <c r="U61" s="255"/>
      <c r="V61" s="261"/>
      <c r="W61" s="12"/>
      <c r="X61" s="12"/>
      <c r="Y61" s="24">
        <f>SUM(Y54:Y60)</f>
        <v>0</v>
      </c>
      <c r="Z61" s="24">
        <f>SUM(Z54:Z60)</f>
        <v>0</v>
      </c>
      <c r="AA61" s="614"/>
      <c r="AB61" s="614"/>
      <c r="AC61" s="24">
        <v>7</v>
      </c>
      <c r="AD61" s="24">
        <f>SUM(AD54:AD60)</f>
        <v>0</v>
      </c>
      <c r="AE61" s="14">
        <f>M61-J61</f>
        <v>-77.124637267243315</v>
      </c>
      <c r="AF61" s="256">
        <f t="shared" si="9"/>
        <v>0.96143768136637831</v>
      </c>
      <c r="AG61" s="615"/>
    </row>
    <row r="62" spans="1:33" ht="15.75" customHeight="1">
      <c r="A62" s="626" t="s">
        <v>1153</v>
      </c>
      <c r="B62" s="263" t="s">
        <v>40</v>
      </c>
      <c r="C62" s="616" t="s">
        <v>49</v>
      </c>
      <c r="D62" s="616"/>
      <c r="E62" s="29">
        <v>34.36</v>
      </c>
      <c r="F62" s="32">
        <v>2320</v>
      </c>
      <c r="G62" s="255">
        <f t="shared" ref="G62:G66" si="40">E62*F62</f>
        <v>79715.199999999997</v>
      </c>
      <c r="H62" s="33" t="s">
        <v>57</v>
      </c>
      <c r="I62" s="260">
        <v>10</v>
      </c>
      <c r="J62" s="31">
        <v>3000</v>
      </c>
      <c r="K62" s="12">
        <f t="shared" si="1"/>
        <v>300</v>
      </c>
      <c r="L62" s="260">
        <v>10</v>
      </c>
      <c r="M62" s="13">
        <f t="shared" ref="M62:M66" si="41">F62/V62*60</f>
        <v>2900.0000000000009</v>
      </c>
      <c r="N62" s="12">
        <f t="shared" si="3"/>
        <v>290.00000000000011</v>
      </c>
      <c r="O62" s="14">
        <f t="shared" si="4"/>
        <v>0</v>
      </c>
      <c r="P62" s="15">
        <f t="shared" si="5"/>
        <v>-9.9999999999998863</v>
      </c>
      <c r="Q62" s="256">
        <f t="shared" si="6"/>
        <v>0.96666666666666701</v>
      </c>
      <c r="R62" s="615">
        <f>Q67</f>
        <v>0.96193016079092042</v>
      </c>
      <c r="S62" s="34">
        <v>0.20833333333333334</v>
      </c>
      <c r="T62" s="34">
        <v>0.24166666666666667</v>
      </c>
      <c r="U62" s="255"/>
      <c r="V62" s="261">
        <f t="shared" ref="V62:V66" si="42">(T62-S62)*24*60</f>
        <v>47.999999999999986</v>
      </c>
      <c r="W62" s="16"/>
      <c r="X62" s="16"/>
      <c r="Y62" s="21"/>
      <c r="Z62" s="21"/>
      <c r="AA62" s="617"/>
      <c r="AB62" s="617"/>
      <c r="AC62" s="35">
        <v>5</v>
      </c>
      <c r="AD62" s="18"/>
      <c r="AE62" s="14">
        <f t="shared" ref="AE62:AE75" si="43">M62-J62</f>
        <v>-99.999999999999091</v>
      </c>
      <c r="AF62" s="256">
        <f t="shared" si="9"/>
        <v>0.96666666666666701</v>
      </c>
      <c r="AG62" s="615">
        <f>AF67</f>
        <v>0.96193016079092053</v>
      </c>
    </row>
    <row r="63" spans="1:33" ht="15.75" customHeight="1">
      <c r="A63" s="626" t="s">
        <v>1154</v>
      </c>
      <c r="B63" s="263" t="s">
        <v>40</v>
      </c>
      <c r="C63" s="616" t="s">
        <v>50</v>
      </c>
      <c r="D63" s="616"/>
      <c r="E63" s="29">
        <v>34.36</v>
      </c>
      <c r="F63" s="32">
        <v>1251</v>
      </c>
      <c r="G63" s="255">
        <f t="shared" si="40"/>
        <v>42984.36</v>
      </c>
      <c r="H63" s="33" t="s">
        <v>57</v>
      </c>
      <c r="I63" s="260">
        <v>10</v>
      </c>
      <c r="J63" s="31">
        <v>3000</v>
      </c>
      <c r="K63" s="12">
        <f t="shared" si="1"/>
        <v>300</v>
      </c>
      <c r="L63" s="260">
        <v>10</v>
      </c>
      <c r="M63" s="13">
        <f t="shared" si="41"/>
        <v>2886.9230769230785</v>
      </c>
      <c r="N63" s="12">
        <f t="shared" si="3"/>
        <v>288.69230769230785</v>
      </c>
      <c r="O63" s="14">
        <f t="shared" si="4"/>
        <v>0</v>
      </c>
      <c r="P63" s="15">
        <f t="shared" si="5"/>
        <v>-11.30769230769215</v>
      </c>
      <c r="Q63" s="256">
        <f t="shared" si="6"/>
        <v>0.96230769230769286</v>
      </c>
      <c r="R63" s="615"/>
      <c r="S63" s="34">
        <v>0.24722222222222223</v>
      </c>
      <c r="T63" s="34">
        <v>0.26527777777777778</v>
      </c>
      <c r="U63" s="255">
        <f t="shared" ref="U63:U66" si="44">(S63-T62)*24*60</f>
        <v>8.0000000000000107</v>
      </c>
      <c r="V63" s="261">
        <f t="shared" si="42"/>
        <v>25.999999999999986</v>
      </c>
      <c r="W63" s="255"/>
      <c r="X63" s="255"/>
      <c r="Y63" s="255"/>
      <c r="Z63" s="255"/>
      <c r="AA63" s="617"/>
      <c r="AB63" s="617"/>
      <c r="AC63" s="35"/>
      <c r="AD63" s="18"/>
      <c r="AE63" s="14">
        <f t="shared" si="43"/>
        <v>-113.0769230769215</v>
      </c>
      <c r="AF63" s="256">
        <f t="shared" si="9"/>
        <v>0.96230769230769286</v>
      </c>
      <c r="AG63" s="615"/>
    </row>
    <row r="64" spans="1:33" ht="15.75" customHeight="1">
      <c r="A64" s="626" t="s">
        <v>182</v>
      </c>
      <c r="B64" s="263" t="s">
        <v>40</v>
      </c>
      <c r="C64" s="616" t="s">
        <v>51</v>
      </c>
      <c r="D64" s="616"/>
      <c r="E64" s="29">
        <v>26.78</v>
      </c>
      <c r="F64" s="32">
        <v>2606</v>
      </c>
      <c r="G64" s="255">
        <f t="shared" si="40"/>
        <v>69788.680000000008</v>
      </c>
      <c r="H64" s="33" t="s">
        <v>57</v>
      </c>
      <c r="I64" s="260">
        <v>10</v>
      </c>
      <c r="J64" s="31">
        <v>3000</v>
      </c>
      <c r="K64" s="12">
        <f t="shared" si="1"/>
        <v>300</v>
      </c>
      <c r="L64" s="260">
        <v>10</v>
      </c>
      <c r="M64" s="13">
        <f t="shared" si="41"/>
        <v>2895.5555555555575</v>
      </c>
      <c r="N64" s="12">
        <f t="shared" si="3"/>
        <v>289.55555555555577</v>
      </c>
      <c r="O64" s="14">
        <f t="shared" si="4"/>
        <v>0</v>
      </c>
      <c r="P64" s="15">
        <f t="shared" si="5"/>
        <v>-10.44444444444423</v>
      </c>
      <c r="Q64" s="256">
        <f t="shared" si="6"/>
        <v>0.96518518518518592</v>
      </c>
      <c r="R64" s="615"/>
      <c r="S64" s="34">
        <v>0.27013888888888887</v>
      </c>
      <c r="T64" s="34">
        <v>0.30763888888888885</v>
      </c>
      <c r="U64" s="255">
        <f t="shared" si="44"/>
        <v>6.9999999999999751</v>
      </c>
      <c r="V64" s="261">
        <f t="shared" si="42"/>
        <v>53.999999999999972</v>
      </c>
      <c r="W64" s="255"/>
      <c r="X64" s="255"/>
      <c r="Y64" s="255"/>
      <c r="Z64" s="255"/>
      <c r="AA64" s="617"/>
      <c r="AB64" s="617"/>
      <c r="AC64" s="35"/>
      <c r="AD64" s="18"/>
      <c r="AE64" s="14">
        <f t="shared" si="43"/>
        <v>-104.44444444444252</v>
      </c>
      <c r="AF64" s="256">
        <f t="shared" si="9"/>
        <v>0.96518518518518581</v>
      </c>
      <c r="AG64" s="615"/>
    </row>
    <row r="65" spans="1:33" ht="15.75" customHeight="1">
      <c r="A65" s="626" t="s">
        <v>1155</v>
      </c>
      <c r="B65" s="263" t="s">
        <v>40</v>
      </c>
      <c r="C65" s="616" t="s">
        <v>52</v>
      </c>
      <c r="D65" s="616"/>
      <c r="E65" s="29">
        <v>35.869999999999997</v>
      </c>
      <c r="F65" s="32">
        <v>3793</v>
      </c>
      <c r="G65" s="255">
        <f t="shared" si="40"/>
        <v>136054.91</v>
      </c>
      <c r="H65" s="33" t="s">
        <v>57</v>
      </c>
      <c r="I65" s="260">
        <v>9</v>
      </c>
      <c r="J65" s="31">
        <v>3000</v>
      </c>
      <c r="K65" s="12">
        <f t="shared" si="1"/>
        <v>333.33333333333331</v>
      </c>
      <c r="L65" s="260">
        <v>9</v>
      </c>
      <c r="M65" s="13">
        <f t="shared" si="41"/>
        <v>2880.7594936708879</v>
      </c>
      <c r="N65" s="12">
        <f t="shared" si="3"/>
        <v>320.08438818565423</v>
      </c>
      <c r="O65" s="14">
        <f t="shared" si="4"/>
        <v>0</v>
      </c>
      <c r="P65" s="15">
        <f t="shared" si="5"/>
        <v>-13.24894514767908</v>
      </c>
      <c r="Q65" s="256">
        <f t="shared" si="6"/>
        <v>0.96025316455696275</v>
      </c>
      <c r="R65" s="615"/>
      <c r="S65" s="34">
        <v>0.3118055555555555</v>
      </c>
      <c r="T65" s="34">
        <v>0.36666666666666659</v>
      </c>
      <c r="U65" s="255">
        <f t="shared" si="44"/>
        <v>5.9999999999999787</v>
      </c>
      <c r="V65" s="261">
        <f t="shared" si="42"/>
        <v>78.999999999999957</v>
      </c>
      <c r="W65" s="255"/>
      <c r="X65" s="255"/>
      <c r="Y65" s="255"/>
      <c r="Z65" s="255"/>
      <c r="AA65" s="617"/>
      <c r="AB65" s="617"/>
      <c r="AC65" s="35"/>
      <c r="AD65" s="18"/>
      <c r="AE65" s="14">
        <f t="shared" si="43"/>
        <v>-119.24050632911212</v>
      </c>
      <c r="AF65" s="256">
        <f t="shared" si="9"/>
        <v>0.96025316455696264</v>
      </c>
      <c r="AG65" s="615"/>
    </row>
    <row r="66" spans="1:33">
      <c r="A66" s="627" t="s">
        <v>182</v>
      </c>
      <c r="B66" s="263" t="s">
        <v>40</v>
      </c>
      <c r="C66" s="616" t="s">
        <v>53</v>
      </c>
      <c r="D66" s="616"/>
      <c r="E66" s="29">
        <v>34.35</v>
      </c>
      <c r="F66" s="32">
        <v>2006</v>
      </c>
      <c r="G66" s="255">
        <f t="shared" si="40"/>
        <v>68906.100000000006</v>
      </c>
      <c r="H66" s="33" t="s">
        <v>57</v>
      </c>
      <c r="I66" s="260">
        <v>8</v>
      </c>
      <c r="J66" s="31">
        <v>3000</v>
      </c>
      <c r="K66" s="12">
        <f t="shared" si="1"/>
        <v>375</v>
      </c>
      <c r="L66" s="260">
        <v>8</v>
      </c>
      <c r="M66" s="13">
        <f t="shared" si="41"/>
        <v>2865.7142857142849</v>
      </c>
      <c r="N66" s="12">
        <f t="shared" si="3"/>
        <v>358.21428571428561</v>
      </c>
      <c r="O66" s="14">
        <f t="shared" si="4"/>
        <v>0</v>
      </c>
      <c r="P66" s="15">
        <f t="shared" si="5"/>
        <v>-16.785714285714391</v>
      </c>
      <c r="Q66" s="256">
        <f t="shared" si="6"/>
        <v>0.955238095238095</v>
      </c>
      <c r="R66" s="615"/>
      <c r="S66" s="34">
        <v>0.3701388888888888</v>
      </c>
      <c r="T66" s="34">
        <v>0.39930555555555547</v>
      </c>
      <c r="U66" s="255">
        <f t="shared" si="44"/>
        <v>4.9999999999999822</v>
      </c>
      <c r="V66" s="261">
        <f t="shared" si="42"/>
        <v>42.000000000000014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-134.28571428571513</v>
      </c>
      <c r="AF66" s="256">
        <f t="shared" si="9"/>
        <v>0.955238095238095</v>
      </c>
      <c r="AG66" s="615"/>
    </row>
    <row r="67" spans="1:33">
      <c r="A67" s="627" t="s">
        <v>1156</v>
      </c>
      <c r="B67" s="29" t="s">
        <v>1157</v>
      </c>
      <c r="C67" s="618"/>
      <c r="D67" s="618"/>
      <c r="E67" s="257"/>
      <c r="F67" s="30"/>
      <c r="G67" s="12"/>
      <c r="H67" s="263"/>
      <c r="I67" s="23">
        <v>9.4</v>
      </c>
      <c r="J67" s="31">
        <v>3000</v>
      </c>
      <c r="K67" s="12">
        <f t="shared" si="1"/>
        <v>319.14893617021278</v>
      </c>
      <c r="L67" s="23">
        <v>9.4</v>
      </c>
      <c r="M67" s="13">
        <f>AVERAGE(M62:M66)</f>
        <v>2885.7904823727617</v>
      </c>
      <c r="N67" s="12">
        <f t="shared" si="3"/>
        <v>306.99898748646399</v>
      </c>
      <c r="O67" s="14">
        <f t="shared" si="4"/>
        <v>0</v>
      </c>
      <c r="P67" s="15">
        <f t="shared" si="5"/>
        <v>-12.149948683748789</v>
      </c>
      <c r="Q67" s="256">
        <f t="shared" si="6"/>
        <v>0.96193016079092042</v>
      </c>
      <c r="R67" s="615"/>
      <c r="S67" s="34"/>
      <c r="T67" s="34"/>
      <c r="U67" s="12"/>
      <c r="V67" s="261"/>
      <c r="W67" s="12"/>
      <c r="X67" s="12"/>
      <c r="Y67" s="24">
        <f>SUM(Y62:Y66)</f>
        <v>0</v>
      </c>
      <c r="Z67" s="24">
        <f>SUM(Z62:Z66)</f>
        <v>0</v>
      </c>
      <c r="AA67" s="614"/>
      <c r="AB67" s="614"/>
      <c r="AC67" s="24">
        <v>5</v>
      </c>
      <c r="AD67" s="24">
        <f>SUM(AD62:AD66)</f>
        <v>0</v>
      </c>
      <c r="AE67" s="14">
        <f t="shared" si="43"/>
        <v>-114.20951762723826</v>
      </c>
      <c r="AF67" s="256">
        <f t="shared" si="9"/>
        <v>0.96193016079092053</v>
      </c>
      <c r="AG67" s="615"/>
    </row>
    <row r="68" spans="1:33" ht="15.75" customHeight="1">
      <c r="A68" s="619" t="s">
        <v>1158</v>
      </c>
      <c r="B68" s="263" t="s">
        <v>32</v>
      </c>
      <c r="C68" s="616" t="s">
        <v>56</v>
      </c>
      <c r="D68" s="616"/>
      <c r="E68" s="29">
        <v>19.02</v>
      </c>
      <c r="F68" s="263">
        <v>5200</v>
      </c>
      <c r="G68" s="255">
        <f t="shared" ref="G68:G74" si="45">E68*F68</f>
        <v>98904</v>
      </c>
      <c r="H68" s="33">
        <v>2</v>
      </c>
      <c r="I68" s="260">
        <v>14</v>
      </c>
      <c r="J68" s="31">
        <v>2400</v>
      </c>
      <c r="K68" s="12">
        <f t="shared" si="1"/>
        <v>171.42857142857142</v>
      </c>
      <c r="L68" s="260">
        <v>14</v>
      </c>
      <c r="M68" s="13">
        <f t="shared" ref="M68:M74" si="46">F68/V68*60</f>
        <v>2294.1176470588239</v>
      </c>
      <c r="N68" s="12">
        <f t="shared" si="3"/>
        <v>163.86554621848742</v>
      </c>
      <c r="O68" s="14">
        <f t="shared" si="4"/>
        <v>0</v>
      </c>
      <c r="P68" s="15">
        <f t="shared" si="5"/>
        <v>-7.5630252100839925</v>
      </c>
      <c r="Q68" s="256">
        <f t="shared" si="6"/>
        <v>0.95588235294117674</v>
      </c>
      <c r="R68" s="615">
        <f>Q75</f>
        <v>0.95588187194635488</v>
      </c>
      <c r="S68" s="34">
        <v>8.3333333333333329E-2</v>
      </c>
      <c r="T68" s="34">
        <v>0.17777777777777776</v>
      </c>
      <c r="U68" s="21"/>
      <c r="V68" s="261">
        <f t="shared" ref="V68:V74" si="47">(T68-S68)*24*60</f>
        <v>135.99999999999997</v>
      </c>
      <c r="W68" s="16">
        <f>T68</f>
        <v>0.17777777777777776</v>
      </c>
      <c r="X68" s="16">
        <f>S69</f>
        <v>0.19652777777777777</v>
      </c>
      <c r="Y68" s="16"/>
      <c r="Z68" s="16"/>
      <c r="AA68" s="617"/>
      <c r="AB68" s="617"/>
      <c r="AC68" s="35">
        <v>7</v>
      </c>
      <c r="AD68" s="18"/>
      <c r="AE68" s="14">
        <f t="shared" si="43"/>
        <v>-105.88235294117612</v>
      </c>
      <c r="AF68" s="256">
        <f t="shared" si="9"/>
        <v>0.95588235294117663</v>
      </c>
      <c r="AG68" s="615">
        <f>AF75</f>
        <v>0.95588187194635488</v>
      </c>
    </row>
    <row r="69" spans="1:33" ht="15.75" customHeight="1">
      <c r="A69" s="620" t="s">
        <v>1159</v>
      </c>
      <c r="B69" s="263" t="s">
        <v>32</v>
      </c>
      <c r="C69" s="616" t="s">
        <v>36</v>
      </c>
      <c r="D69" s="616"/>
      <c r="E69" s="29">
        <v>20.36</v>
      </c>
      <c r="F69" s="263">
        <v>4757</v>
      </c>
      <c r="G69" s="255">
        <f t="shared" si="45"/>
        <v>96852.52</v>
      </c>
      <c r="H69" s="33" t="s">
        <v>57</v>
      </c>
      <c r="I69" s="260">
        <v>17</v>
      </c>
      <c r="J69" s="31">
        <v>2400</v>
      </c>
      <c r="K69" s="12">
        <f t="shared" ref="K69:K75" si="48">J69/I69</f>
        <v>141.1764705882353</v>
      </c>
      <c r="L69" s="260">
        <v>17</v>
      </c>
      <c r="M69" s="13">
        <f t="shared" si="46"/>
        <v>2283.36</v>
      </c>
      <c r="N69" s="12">
        <f t="shared" ref="N69:N75" si="49">M69/L69</f>
        <v>134.31529411764706</v>
      </c>
      <c r="O69" s="14">
        <f t="shared" ref="O69:O75" si="50">L69-I69</f>
        <v>0</v>
      </c>
      <c r="P69" s="15">
        <f t="shared" ref="P69:P75" si="51">N69-K69</f>
        <v>-6.8611764705882479</v>
      </c>
      <c r="Q69" s="256">
        <f t="shared" ref="Q69:Q75" si="52">N69/K69</f>
        <v>0.95139999999999991</v>
      </c>
      <c r="R69" s="615"/>
      <c r="S69" s="34">
        <v>0.19652777777777777</v>
      </c>
      <c r="T69" s="34">
        <v>0.28333333333333333</v>
      </c>
      <c r="U69" s="255">
        <f t="shared" ref="U69:U74" si="53">(S69-T68)*24*60</f>
        <v>27.000000000000025</v>
      </c>
      <c r="V69" s="261">
        <f t="shared" si="47"/>
        <v>124.99999999999999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-116.63999999999987</v>
      </c>
      <c r="AF69" s="256">
        <f t="shared" ref="AF69:AF75" si="54">M69/J69</f>
        <v>0.95140000000000002</v>
      </c>
      <c r="AG69" s="615"/>
    </row>
    <row r="70" spans="1:33" ht="15.75" customHeight="1">
      <c r="A70" s="620" t="s">
        <v>14</v>
      </c>
      <c r="B70" s="263" t="s">
        <v>32</v>
      </c>
      <c r="C70" s="616" t="s">
        <v>949</v>
      </c>
      <c r="D70" s="616"/>
      <c r="E70" s="29">
        <v>25.98</v>
      </c>
      <c r="F70" s="263">
        <v>4500</v>
      </c>
      <c r="G70" s="255">
        <f t="shared" si="45"/>
        <v>116910</v>
      </c>
      <c r="H70" s="33">
        <v>2</v>
      </c>
      <c r="I70" s="260">
        <v>17</v>
      </c>
      <c r="J70" s="31">
        <v>2400</v>
      </c>
      <c r="K70" s="12">
        <f t="shared" si="48"/>
        <v>141.1764705882353</v>
      </c>
      <c r="L70" s="260">
        <v>17</v>
      </c>
      <c r="M70" s="13">
        <f t="shared" si="46"/>
        <v>2288.1355932203396</v>
      </c>
      <c r="N70" s="12">
        <f t="shared" si="49"/>
        <v>134.59621136590232</v>
      </c>
      <c r="O70" s="14">
        <f t="shared" si="50"/>
        <v>0</v>
      </c>
      <c r="P70" s="15">
        <f t="shared" si="51"/>
        <v>-6.5802592223329839</v>
      </c>
      <c r="Q70" s="256">
        <f t="shared" si="52"/>
        <v>0.9533898305084747</v>
      </c>
      <c r="R70" s="615"/>
      <c r="S70" s="34">
        <v>0.28819444444444442</v>
      </c>
      <c r="T70" s="34">
        <v>0.37013888888888885</v>
      </c>
      <c r="U70" s="255">
        <f t="shared" si="53"/>
        <v>6.9999999999999751</v>
      </c>
      <c r="V70" s="261">
        <f t="shared" si="47"/>
        <v>117.99999999999999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-111.86440677966038</v>
      </c>
      <c r="AF70" s="256">
        <f t="shared" si="54"/>
        <v>0.95338983050847481</v>
      </c>
      <c r="AG70" s="615"/>
    </row>
    <row r="71" spans="1:33" ht="15.75" customHeight="1">
      <c r="A71" s="620" t="s">
        <v>1160</v>
      </c>
      <c r="B71" s="263" t="s">
        <v>32</v>
      </c>
      <c r="C71" s="616" t="s">
        <v>54</v>
      </c>
      <c r="D71" s="616"/>
      <c r="E71" s="29">
        <v>20.21</v>
      </c>
      <c r="F71" s="263">
        <v>3221</v>
      </c>
      <c r="G71" s="255">
        <f t="shared" si="45"/>
        <v>65096.41</v>
      </c>
      <c r="H71" s="33" t="s">
        <v>57</v>
      </c>
      <c r="I71" s="260">
        <v>15</v>
      </c>
      <c r="J71" s="31">
        <v>2400</v>
      </c>
      <c r="K71" s="12">
        <f t="shared" si="48"/>
        <v>160</v>
      </c>
      <c r="L71" s="260">
        <v>15</v>
      </c>
      <c r="M71" s="13">
        <f t="shared" si="46"/>
        <v>2300.7142857142849</v>
      </c>
      <c r="N71" s="12">
        <f t="shared" si="49"/>
        <v>153.38095238095232</v>
      </c>
      <c r="O71" s="14">
        <f t="shared" si="50"/>
        <v>0</v>
      </c>
      <c r="P71" s="15">
        <f t="shared" si="51"/>
        <v>-6.6190476190476772</v>
      </c>
      <c r="Q71" s="256">
        <f t="shared" si="52"/>
        <v>0.95863095238095197</v>
      </c>
      <c r="R71" s="615"/>
      <c r="S71" s="34">
        <v>0.3743055555555555</v>
      </c>
      <c r="T71" s="34">
        <v>0.43263888888888885</v>
      </c>
      <c r="U71" s="255">
        <f t="shared" si="53"/>
        <v>5.9999999999999787</v>
      </c>
      <c r="V71" s="261">
        <f t="shared" si="47"/>
        <v>84.000000000000028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-99.28571428571513</v>
      </c>
      <c r="AF71" s="256">
        <f t="shared" si="54"/>
        <v>0.95863095238095208</v>
      </c>
      <c r="AG71" s="615"/>
    </row>
    <row r="72" spans="1:33" ht="15.75" customHeight="1">
      <c r="A72" s="620" t="s">
        <v>14</v>
      </c>
      <c r="B72" s="263" t="s">
        <v>32</v>
      </c>
      <c r="C72" s="616" t="s">
        <v>55</v>
      </c>
      <c r="D72" s="616"/>
      <c r="E72" s="29">
        <v>22.69</v>
      </c>
      <c r="F72" s="263">
        <v>3516</v>
      </c>
      <c r="G72" s="255">
        <f t="shared" si="45"/>
        <v>79778.040000000008</v>
      </c>
      <c r="H72" s="33" t="s">
        <v>57</v>
      </c>
      <c r="I72" s="260">
        <v>15</v>
      </c>
      <c r="J72" s="31">
        <v>2400</v>
      </c>
      <c r="K72" s="12">
        <f t="shared" si="48"/>
        <v>160</v>
      </c>
      <c r="L72" s="260">
        <v>15</v>
      </c>
      <c r="M72" s="13">
        <f t="shared" si="46"/>
        <v>2293.0434782608681</v>
      </c>
      <c r="N72" s="12">
        <f t="shared" si="49"/>
        <v>152.8695652173912</v>
      </c>
      <c r="O72" s="14">
        <f t="shared" si="50"/>
        <v>0</v>
      </c>
      <c r="P72" s="15">
        <f t="shared" si="51"/>
        <v>-7.1304347826088019</v>
      </c>
      <c r="Q72" s="256">
        <f t="shared" si="52"/>
        <v>0.95543478260869497</v>
      </c>
      <c r="R72" s="615"/>
      <c r="S72" s="34">
        <v>0.43749999999999994</v>
      </c>
      <c r="T72" s="34">
        <v>0.50138888888888888</v>
      </c>
      <c r="U72" s="255">
        <f t="shared" si="53"/>
        <v>6.9999999999999751</v>
      </c>
      <c r="V72" s="261">
        <f t="shared" si="47"/>
        <v>92.000000000000071</v>
      </c>
      <c r="W72" s="16">
        <f>T72</f>
        <v>0.50138888888888888</v>
      </c>
      <c r="X72" s="16">
        <f>S73</f>
        <v>0.5395833333333333</v>
      </c>
      <c r="Y72" s="16"/>
      <c r="Z72" s="16"/>
      <c r="AA72" s="617"/>
      <c r="AB72" s="617"/>
      <c r="AC72" s="35"/>
      <c r="AD72" s="18"/>
      <c r="AE72" s="14">
        <f t="shared" si="43"/>
        <v>-106.95652173913186</v>
      </c>
      <c r="AF72" s="256">
        <f t="shared" si="54"/>
        <v>0.95543478260869508</v>
      </c>
      <c r="AG72" s="615"/>
    </row>
    <row r="73" spans="1:33" ht="15.75" customHeight="1">
      <c r="A73" s="620" t="s">
        <v>1161</v>
      </c>
      <c r="B73" s="263" t="s">
        <v>32</v>
      </c>
      <c r="C73" s="616" t="s">
        <v>56</v>
      </c>
      <c r="D73" s="616"/>
      <c r="E73" s="29">
        <v>19.02</v>
      </c>
      <c r="F73" s="263">
        <v>4130</v>
      </c>
      <c r="G73" s="255">
        <f t="shared" si="45"/>
        <v>78552.599999999991</v>
      </c>
      <c r="H73" s="33" t="s">
        <v>57</v>
      </c>
      <c r="I73" s="260">
        <v>14</v>
      </c>
      <c r="J73" s="31">
        <v>2400</v>
      </c>
      <c r="K73" s="12">
        <f t="shared" si="48"/>
        <v>171.42857142857142</v>
      </c>
      <c r="L73" s="260">
        <v>14</v>
      </c>
      <c r="M73" s="13">
        <f t="shared" si="46"/>
        <v>2294.4444444444457</v>
      </c>
      <c r="N73" s="12">
        <f t="shared" si="49"/>
        <v>163.88888888888897</v>
      </c>
      <c r="O73" s="14">
        <f t="shared" si="50"/>
        <v>0</v>
      </c>
      <c r="P73" s="15">
        <f t="shared" si="51"/>
        <v>-7.5396825396824454</v>
      </c>
      <c r="Q73" s="256">
        <f t="shared" si="52"/>
        <v>0.95601851851851904</v>
      </c>
      <c r="R73" s="615"/>
      <c r="S73" s="34">
        <v>0.5395833333333333</v>
      </c>
      <c r="T73" s="34">
        <v>0.61458333333333326</v>
      </c>
      <c r="U73" s="255">
        <f t="shared" si="53"/>
        <v>54.999999999999964</v>
      </c>
      <c r="V73" s="261">
        <f t="shared" si="47"/>
        <v>107.99999999999994</v>
      </c>
      <c r="W73" s="16"/>
      <c r="X73" s="16"/>
      <c r="Y73" s="16"/>
      <c r="Z73" s="16"/>
      <c r="AA73" s="617"/>
      <c r="AB73" s="617"/>
      <c r="AC73" s="35"/>
      <c r="AD73" s="18"/>
      <c r="AE73" s="14">
        <f t="shared" si="43"/>
        <v>-105.55555555555429</v>
      </c>
      <c r="AF73" s="256">
        <f t="shared" si="54"/>
        <v>0.95601851851851904</v>
      </c>
      <c r="AG73" s="615"/>
    </row>
    <row r="74" spans="1:33" ht="15.75" customHeight="1">
      <c r="A74" s="620" t="s">
        <v>14</v>
      </c>
      <c r="B74" s="263" t="s">
        <v>32</v>
      </c>
      <c r="C74" s="622" t="s">
        <v>949</v>
      </c>
      <c r="D74" s="623"/>
      <c r="E74" s="29">
        <v>25.98</v>
      </c>
      <c r="F74" s="263">
        <v>3227</v>
      </c>
      <c r="G74" s="255">
        <f t="shared" si="45"/>
        <v>83837.460000000006</v>
      </c>
      <c r="H74" s="33" t="s">
        <v>57</v>
      </c>
      <c r="I74" s="260">
        <v>17</v>
      </c>
      <c r="J74" s="31">
        <v>2400</v>
      </c>
      <c r="K74" s="12">
        <f t="shared" si="48"/>
        <v>141.1764705882353</v>
      </c>
      <c r="L74" s="260">
        <v>17</v>
      </c>
      <c r="M74" s="13">
        <f t="shared" si="46"/>
        <v>2304.9999999999995</v>
      </c>
      <c r="N74" s="12">
        <f t="shared" si="49"/>
        <v>135.58823529411762</v>
      </c>
      <c r="O74" s="14">
        <f t="shared" si="50"/>
        <v>0</v>
      </c>
      <c r="P74" s="15">
        <f t="shared" si="51"/>
        <v>-5.5882352941176805</v>
      </c>
      <c r="Q74" s="256">
        <f t="shared" si="52"/>
        <v>0.96041666666666647</v>
      </c>
      <c r="R74" s="615"/>
      <c r="S74" s="34">
        <v>0.6201388888888888</v>
      </c>
      <c r="T74" s="34">
        <v>0.67847222222222214</v>
      </c>
      <c r="U74" s="255">
        <f t="shared" si="53"/>
        <v>7.9999999999999716</v>
      </c>
      <c r="V74" s="261">
        <f t="shared" si="47"/>
        <v>84.000000000000028</v>
      </c>
      <c r="W74" s="16"/>
      <c r="X74" s="16"/>
      <c r="Y74" s="19"/>
      <c r="Z74" s="19"/>
      <c r="AA74" s="624"/>
      <c r="AB74" s="625"/>
      <c r="AC74" s="35"/>
      <c r="AD74" s="18"/>
      <c r="AE74" s="14">
        <f t="shared" si="43"/>
        <v>-95.000000000000455</v>
      </c>
      <c r="AF74" s="256">
        <f t="shared" si="54"/>
        <v>0.96041666666666647</v>
      </c>
      <c r="AG74" s="615"/>
    </row>
    <row r="75" spans="1:33" ht="16.5" customHeight="1">
      <c r="A75" s="621" t="s">
        <v>1162</v>
      </c>
      <c r="B75" s="29" t="s">
        <v>1163</v>
      </c>
      <c r="C75" s="612"/>
      <c r="D75" s="613"/>
      <c r="E75" s="257"/>
      <c r="F75" s="30"/>
      <c r="G75" s="12"/>
      <c r="H75" s="263"/>
      <c r="I75" s="23">
        <v>15.571428571428571</v>
      </c>
      <c r="J75" s="31">
        <v>2400</v>
      </c>
      <c r="K75" s="12">
        <f t="shared" si="48"/>
        <v>154.12844036697248</v>
      </c>
      <c r="L75" s="23">
        <v>15.571428571428571</v>
      </c>
      <c r="M75" s="13">
        <f>AVERAGE(M68:M74)</f>
        <v>2294.1164926712518</v>
      </c>
      <c r="N75" s="12">
        <f t="shared" si="49"/>
        <v>147.32858209815379</v>
      </c>
      <c r="O75" s="14">
        <f t="shared" si="50"/>
        <v>0</v>
      </c>
      <c r="P75" s="15">
        <f t="shared" si="51"/>
        <v>-6.7998582688186957</v>
      </c>
      <c r="Q75" s="256">
        <f t="shared" si="52"/>
        <v>0.95588187194635488</v>
      </c>
      <c r="R75" s="615"/>
      <c r="S75" s="34"/>
      <c r="T75" s="34"/>
      <c r="U75" s="12"/>
      <c r="V75" s="261"/>
      <c r="W75" s="12"/>
      <c r="X75" s="12"/>
      <c r="Y75" s="24">
        <f>SUM(Y68:Y74)</f>
        <v>0</v>
      </c>
      <c r="Z75" s="24">
        <f>SUM(Z68:Z74)</f>
        <v>0</v>
      </c>
      <c r="AA75" s="614"/>
      <c r="AB75" s="614"/>
      <c r="AC75" s="24">
        <v>7</v>
      </c>
      <c r="AD75" s="24">
        <f>SUM(AD68:AD74)</f>
        <v>0</v>
      </c>
      <c r="AE75" s="14">
        <f t="shared" si="43"/>
        <v>-105.88350732874824</v>
      </c>
      <c r="AF75" s="256">
        <f t="shared" si="54"/>
        <v>0.95588187194635488</v>
      </c>
      <c r="AG75" s="615"/>
    </row>
    <row r="76" spans="1:33">
      <c r="D76" s="25"/>
      <c r="E76" s="25"/>
    </row>
  </sheetData>
  <mergeCells count="19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22:A30"/>
    <mergeCell ref="C22:D22"/>
    <mergeCell ref="R22:R30"/>
    <mergeCell ref="AA22:AB22"/>
    <mergeCell ref="AA27:AB27"/>
    <mergeCell ref="A14:A21"/>
    <mergeCell ref="C14:D14"/>
    <mergeCell ref="R14:R21"/>
    <mergeCell ref="AA14:AB14"/>
    <mergeCell ref="AG22:AG30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30:D30"/>
    <mergeCell ref="AA30:AB30"/>
    <mergeCell ref="A31:A39"/>
    <mergeCell ref="C31:D31"/>
    <mergeCell ref="R31:R39"/>
    <mergeCell ref="AA31:AB31"/>
    <mergeCell ref="AA36:AB36"/>
    <mergeCell ref="C37:D37"/>
    <mergeCell ref="AG31:AG39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AA39:AB39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40:A48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G62:AG67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C67:D67"/>
    <mergeCell ref="AA67:AB67"/>
    <mergeCell ref="A68:A75"/>
    <mergeCell ref="C68:D68"/>
    <mergeCell ref="R68:R75"/>
    <mergeCell ref="AA68:AB68"/>
    <mergeCell ref="AA73:AB73"/>
    <mergeCell ref="A62:A67"/>
    <mergeCell ref="C62:D62"/>
    <mergeCell ref="R62:R67"/>
    <mergeCell ref="AA62:AB62"/>
    <mergeCell ref="C74:D74"/>
    <mergeCell ref="AA74:AB74"/>
    <mergeCell ref="C75:D75"/>
    <mergeCell ref="AA75:AB75"/>
    <mergeCell ref="AG68:AG75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</mergeCells>
  <phoneticPr fontId="3" type="noConversion"/>
  <conditionalFormatting sqref="O65:O73 O61:O62 O75 O5:O9 O13:O15 O21:O59">
    <cfRule type="cellIs" dxfId="764" priority="54" operator="greaterThan">
      <formula>0</formula>
    </cfRule>
  </conditionalFormatting>
  <conditionalFormatting sqref="P5:P7 P65:P66 AE65:AE66 P68:P73 P31:P38 P62 P9 P13:P15 P22:P29 P54:P59 P40:P52 AE5:AE62 AE68:AE75">
    <cfRule type="cellIs" dxfId="763" priority="58" operator="lessThan">
      <formula>0</formula>
    </cfRule>
  </conditionalFormatting>
  <conditionalFormatting sqref="AF65:AF66 Q65:Q73 Q61:Q62 Q75 Q5:Q9 Q13:Q15 Q21:Q59 AF5:AF62 AF68:AF75">
    <cfRule type="cellIs" dxfId="762" priority="55" operator="greaterThan">
      <formula>1</formula>
    </cfRule>
    <cfRule type="cellIs" dxfId="761" priority="56" operator="lessThan">
      <formula>0.8</formula>
    </cfRule>
  </conditionalFormatting>
  <conditionalFormatting sqref="AG14:AG15 R14:R15 AG65 R65:R73 R21:R27 AG21:AG27 AG61:AG62 R61:R62 R75 AG5:AG9 R5:R9 AG30:AG59 R30:R59">
    <cfRule type="cellIs" dxfId="760" priority="60" operator="lessThan">
      <formula>0.8</formula>
    </cfRule>
  </conditionalFormatting>
  <conditionalFormatting sqref="AG49">
    <cfRule type="cellIs" dxfId="759" priority="62" operator="lessThan">
      <formula>0.8</formula>
    </cfRule>
  </conditionalFormatting>
  <conditionalFormatting sqref="AG22:AG27">
    <cfRule type="cellIs" dxfId="758" priority="59" operator="lessThan">
      <formula>0.8</formula>
    </cfRule>
  </conditionalFormatting>
  <conditionalFormatting sqref="AG31">
    <cfRule type="cellIs" dxfId="757" priority="61" operator="lessThan">
      <formula>0.8</formula>
    </cfRule>
  </conditionalFormatting>
  <conditionalFormatting sqref="AG40:AG47">
    <cfRule type="cellIs" dxfId="756" priority="57" operator="lessThan">
      <formula>0.8</formula>
    </cfRule>
  </conditionalFormatting>
  <conditionalFormatting sqref="AE67">
    <cfRule type="cellIs" dxfId="755" priority="53" operator="lessThan">
      <formula>0</formula>
    </cfRule>
  </conditionalFormatting>
  <conditionalFormatting sqref="AF67">
    <cfRule type="cellIs" dxfId="754" priority="51" operator="greaterThan">
      <formula>1</formula>
    </cfRule>
    <cfRule type="cellIs" dxfId="753" priority="52" operator="lessThan">
      <formula>0.8</formula>
    </cfRule>
  </conditionalFormatting>
  <conditionalFormatting sqref="O16:O17">
    <cfRule type="cellIs" dxfId="752" priority="46" operator="greaterThan">
      <formula>0</formula>
    </cfRule>
  </conditionalFormatting>
  <conditionalFormatting sqref="P16:P17">
    <cfRule type="cellIs" dxfId="751" priority="49" operator="lessThan">
      <formula>0</formula>
    </cfRule>
  </conditionalFormatting>
  <conditionalFormatting sqref="Q16:Q17">
    <cfRule type="cellIs" dxfId="750" priority="47" operator="greaterThan">
      <formula>1</formula>
    </cfRule>
    <cfRule type="cellIs" dxfId="749" priority="48" operator="lessThan">
      <formula>0.8</formula>
    </cfRule>
  </conditionalFormatting>
  <conditionalFormatting sqref="R16:R17 AG16:AG17">
    <cfRule type="cellIs" dxfId="748" priority="50" operator="lessThan">
      <formula>0.8</formula>
    </cfRule>
  </conditionalFormatting>
  <conditionalFormatting sqref="O10:O12">
    <cfRule type="cellIs" dxfId="747" priority="42" operator="greaterThan">
      <formula>0</formula>
    </cfRule>
  </conditionalFormatting>
  <conditionalFormatting sqref="P10:P12">
    <cfRule type="cellIs" dxfId="746" priority="45" operator="lessThan">
      <formula>0</formula>
    </cfRule>
  </conditionalFormatting>
  <conditionalFormatting sqref="Q10:Q12">
    <cfRule type="cellIs" dxfId="745" priority="43" operator="greaterThan">
      <formula>1</formula>
    </cfRule>
    <cfRule type="cellIs" dxfId="744" priority="44" operator="lessThan">
      <formula>0.8</formula>
    </cfRule>
  </conditionalFormatting>
  <conditionalFormatting sqref="O60">
    <cfRule type="cellIs" dxfId="743" priority="37" operator="greaterThan">
      <formula>0</formula>
    </cfRule>
  </conditionalFormatting>
  <conditionalFormatting sqref="P60">
    <cfRule type="cellIs" dxfId="742" priority="40" operator="lessThan">
      <formula>0</formula>
    </cfRule>
  </conditionalFormatting>
  <conditionalFormatting sqref="Q60">
    <cfRule type="cellIs" dxfId="741" priority="38" operator="greaterThan">
      <formula>1</formula>
    </cfRule>
    <cfRule type="cellIs" dxfId="740" priority="39" operator="lessThan">
      <formula>0.8</formula>
    </cfRule>
  </conditionalFormatting>
  <conditionalFormatting sqref="R60 AG60">
    <cfRule type="cellIs" dxfId="739" priority="41" operator="lessThan">
      <formula>0.8</formula>
    </cfRule>
  </conditionalFormatting>
  <conditionalFormatting sqref="AG29 R29">
    <cfRule type="cellIs" dxfId="738" priority="36" operator="lessThan">
      <formula>0.8</formula>
    </cfRule>
  </conditionalFormatting>
  <conditionalFormatting sqref="O64">
    <cfRule type="cellIs" dxfId="737" priority="31" operator="greaterThan">
      <formula>0</formula>
    </cfRule>
  </conditionalFormatting>
  <conditionalFormatting sqref="P64 AE64">
    <cfRule type="cellIs" dxfId="736" priority="34" operator="lessThan">
      <formula>0</formula>
    </cfRule>
  </conditionalFormatting>
  <conditionalFormatting sqref="Q64 AF64">
    <cfRule type="cellIs" dxfId="735" priority="32" operator="greaterThan">
      <formula>1</formula>
    </cfRule>
    <cfRule type="cellIs" dxfId="734" priority="33" operator="lessThan">
      <formula>0.8</formula>
    </cfRule>
  </conditionalFormatting>
  <conditionalFormatting sqref="R64 AG64">
    <cfRule type="cellIs" dxfId="733" priority="35" operator="lessThan">
      <formula>0.8</formula>
    </cfRule>
  </conditionalFormatting>
  <conditionalFormatting sqref="O74">
    <cfRule type="cellIs" dxfId="732" priority="26" operator="greaterThan">
      <formula>0</formula>
    </cfRule>
  </conditionalFormatting>
  <conditionalFormatting sqref="P74">
    <cfRule type="cellIs" dxfId="731" priority="29" operator="lessThan">
      <formula>0</formula>
    </cfRule>
  </conditionalFormatting>
  <conditionalFormatting sqref="Q74">
    <cfRule type="cellIs" dxfId="730" priority="27" operator="greaterThan">
      <formula>1</formula>
    </cfRule>
    <cfRule type="cellIs" dxfId="729" priority="28" operator="lessThan">
      <formula>0.8</formula>
    </cfRule>
  </conditionalFormatting>
  <conditionalFormatting sqref="R74">
    <cfRule type="cellIs" dxfId="728" priority="30" operator="lessThan">
      <formula>0.8</formula>
    </cfRule>
  </conditionalFormatting>
  <conditionalFormatting sqref="O18:O19">
    <cfRule type="cellIs" dxfId="727" priority="21" operator="greaterThan">
      <formula>0</formula>
    </cfRule>
  </conditionalFormatting>
  <conditionalFormatting sqref="P18:P19">
    <cfRule type="cellIs" dxfId="726" priority="24" operator="lessThan">
      <formula>0</formula>
    </cfRule>
  </conditionalFormatting>
  <conditionalFormatting sqref="Q18:Q19">
    <cfRule type="cellIs" dxfId="725" priority="22" operator="greaterThan">
      <formula>1</formula>
    </cfRule>
    <cfRule type="cellIs" dxfId="724" priority="23" operator="lessThan">
      <formula>0.8</formula>
    </cfRule>
  </conditionalFormatting>
  <conditionalFormatting sqref="R18:R19 AG18:AG19">
    <cfRule type="cellIs" dxfId="723" priority="25" operator="lessThan">
      <formula>0.8</formula>
    </cfRule>
  </conditionalFormatting>
  <conditionalFormatting sqref="R28 AG28">
    <cfRule type="cellIs" dxfId="722" priority="20" operator="lessThan">
      <formula>0.8</formula>
    </cfRule>
  </conditionalFormatting>
  <conditionalFormatting sqref="AG28">
    <cfRule type="cellIs" dxfId="721" priority="19" operator="lessThan">
      <formula>0.8</formula>
    </cfRule>
  </conditionalFormatting>
  <conditionalFormatting sqref="O63">
    <cfRule type="cellIs" dxfId="720" priority="14" operator="greaterThan">
      <formula>0</formula>
    </cfRule>
  </conditionalFormatting>
  <conditionalFormatting sqref="P63 AE63">
    <cfRule type="cellIs" dxfId="719" priority="17" operator="lessThan">
      <formula>0</formula>
    </cfRule>
  </conditionalFormatting>
  <conditionalFormatting sqref="Q63 AF63">
    <cfRule type="cellIs" dxfId="718" priority="15" operator="greaterThan">
      <formula>1</formula>
    </cfRule>
    <cfRule type="cellIs" dxfId="717" priority="16" operator="lessThan">
      <formula>0.8</formula>
    </cfRule>
  </conditionalFormatting>
  <conditionalFormatting sqref="R63 AG63">
    <cfRule type="cellIs" dxfId="716" priority="18" operator="lessThan">
      <formula>0.8</formula>
    </cfRule>
  </conditionalFormatting>
  <conditionalFormatting sqref="O20">
    <cfRule type="cellIs" dxfId="715" priority="9" operator="greaterThan">
      <formula>0</formula>
    </cfRule>
  </conditionalFormatting>
  <conditionalFormatting sqref="P20">
    <cfRule type="cellIs" dxfId="714" priority="12" operator="lessThan">
      <formula>0</formula>
    </cfRule>
  </conditionalFormatting>
  <conditionalFormatting sqref="Q20">
    <cfRule type="cellIs" dxfId="713" priority="10" operator="greaterThan">
      <formula>1</formula>
    </cfRule>
    <cfRule type="cellIs" dxfId="712" priority="11" operator="lessThan">
      <formula>0.8</formula>
    </cfRule>
  </conditionalFormatting>
  <conditionalFormatting sqref="AG20 R20">
    <cfRule type="cellIs" dxfId="711" priority="13" operator="lessThan">
      <formula>0.8</formula>
    </cfRule>
  </conditionalFormatting>
  <conditionalFormatting sqref="P8">
    <cfRule type="cellIs" dxfId="710" priority="8" operator="lessThan">
      <formula>0</formula>
    </cfRule>
  </conditionalFormatting>
  <conditionalFormatting sqref="P21">
    <cfRule type="cellIs" dxfId="709" priority="7" operator="lessThan">
      <formula>0</formula>
    </cfRule>
  </conditionalFormatting>
  <conditionalFormatting sqref="P30">
    <cfRule type="cellIs" dxfId="708" priority="6" operator="lessThan">
      <formula>0</formula>
    </cfRule>
  </conditionalFormatting>
  <conditionalFormatting sqref="P39">
    <cfRule type="cellIs" dxfId="707" priority="5" operator="lessThan">
      <formula>0</formula>
    </cfRule>
  </conditionalFormatting>
  <conditionalFormatting sqref="P53">
    <cfRule type="cellIs" dxfId="706" priority="4" operator="lessThan">
      <formula>0</formula>
    </cfRule>
  </conditionalFormatting>
  <conditionalFormatting sqref="P61">
    <cfRule type="cellIs" dxfId="705" priority="3" operator="lessThan">
      <formula>0</formula>
    </cfRule>
  </conditionalFormatting>
  <conditionalFormatting sqref="P67">
    <cfRule type="cellIs" dxfId="704" priority="2" operator="lessThan">
      <formula>0</formula>
    </cfRule>
  </conditionalFormatting>
  <conditionalFormatting sqref="P75">
    <cfRule type="cellIs" dxfId="703" priority="1" operator="lessThan">
      <formula>0</formula>
    </cfRule>
  </conditionalFormatting>
  <dataValidations count="1">
    <dataValidation type="list" allowBlank="1" showInputMessage="1" showErrorMessage="1" sqref="AB8 AA5:AB7 AB66 AA8:AA66 AB10:AB62 AA67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5" sqref="E5:F5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950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951</v>
      </c>
      <c r="C3" s="601" t="str">
        <f>TEXT('0610 4度C'!A2,"yyyy.mm.ddaaaa")</f>
        <v>2026.06.10星期三</v>
      </c>
      <c r="D3" s="602"/>
      <c r="E3" s="39" t="s">
        <v>952</v>
      </c>
      <c r="F3" s="603">
        <f>'0610 4度C'!D1</f>
        <v>196278</v>
      </c>
      <c r="G3" s="604"/>
      <c r="H3" s="39" t="s">
        <v>953</v>
      </c>
      <c r="I3" s="605">
        <f>'0610 4度C'!F1</f>
        <v>6804547.9699999988</v>
      </c>
      <c r="J3" s="606"/>
      <c r="K3" s="40"/>
      <c r="L3" s="41"/>
      <c r="M3" s="42"/>
      <c r="N3" s="42"/>
    </row>
    <row r="4" spans="2:17" ht="28.5" customHeight="1">
      <c r="B4" s="607" t="s">
        <v>954</v>
      </c>
      <c r="C4" s="593" t="s">
        <v>955</v>
      </c>
      <c r="D4" s="594"/>
      <c r="E4" s="610" t="s">
        <v>956</v>
      </c>
      <c r="F4" s="611"/>
      <c r="G4" s="610" t="s">
        <v>957</v>
      </c>
      <c r="H4" s="611"/>
      <c r="I4" s="610" t="s">
        <v>958</v>
      </c>
      <c r="J4" s="611"/>
      <c r="K4" s="591" t="s">
        <v>959</v>
      </c>
      <c r="L4" s="592"/>
      <c r="M4" s="592" t="s">
        <v>960</v>
      </c>
      <c r="N4" s="592"/>
    </row>
    <row r="5" spans="2:17" ht="28.5" customHeight="1">
      <c r="B5" s="608"/>
      <c r="C5" s="593" t="s">
        <v>961</v>
      </c>
      <c r="D5" s="594"/>
      <c r="E5" s="593" t="s">
        <v>962</v>
      </c>
      <c r="F5" s="594"/>
      <c r="G5" s="595" t="s">
        <v>963</v>
      </c>
      <c r="H5" s="596"/>
      <c r="I5" s="597" t="s">
        <v>964</v>
      </c>
      <c r="J5" s="598"/>
      <c r="K5" s="43" t="s">
        <v>102</v>
      </c>
      <c r="L5" s="44" t="s">
        <v>965</v>
      </c>
      <c r="M5" s="43" t="s">
        <v>966</v>
      </c>
      <c r="N5" s="44" t="s">
        <v>967</v>
      </c>
    </row>
    <row r="6" spans="2:17" ht="28.5" customHeight="1">
      <c r="B6" s="608"/>
      <c r="C6" s="593" t="s">
        <v>58</v>
      </c>
      <c r="D6" s="594"/>
      <c r="E6" s="585">
        <f>AVERAGE(D13:M13)</f>
        <v>153.10759618723415</v>
      </c>
      <c r="F6" s="586">
        <f>AVERAGE(D31:O31,D13:J13)</f>
        <v>159.56323829597113</v>
      </c>
      <c r="G6" s="587">
        <f>AVERAGE(D13:J13)</f>
        <v>159.56323829597113</v>
      </c>
      <c r="H6" s="588"/>
      <c r="I6" s="587">
        <f>AVERAGE(K13:M13)</f>
        <v>138.04443126684779</v>
      </c>
      <c r="J6" s="588"/>
      <c r="K6" s="589">
        <f>'0610 4度C'!Y2</f>
        <v>0</v>
      </c>
      <c r="L6" s="574">
        <f>'0610 4度C'!Z2</f>
        <v>0</v>
      </c>
      <c r="M6" s="590">
        <f>'0610 4度C'!AC2</f>
        <v>61</v>
      </c>
      <c r="N6" s="574">
        <f>'0610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146.68184219293394</v>
      </c>
      <c r="F7" s="578">
        <f>AVERAGE(D32:O32,D14:J14)</f>
        <v>152.90920990915788</v>
      </c>
      <c r="G7" s="579">
        <f>AVERAGE(D14:J14)</f>
        <v>152.90920990915788</v>
      </c>
      <c r="H7" s="580"/>
      <c r="I7" s="579">
        <f>AVERAGE(K14:M14)</f>
        <v>132.15131752174477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0.9574866945340712</v>
      </c>
      <c r="F8" s="582">
        <f>AVERAGE(D15:J15,D33:O33)</f>
        <v>0.9575864755127711</v>
      </c>
      <c r="G8" s="583">
        <f>AVERAGE(D15:J15)</f>
        <v>0.9575864755127711</v>
      </c>
      <c r="H8" s="584"/>
      <c r="I8" s="583">
        <f>AVERAGE(K15:M15)</f>
        <v>0.95725387225043868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968</v>
      </c>
      <c r="N9" s="42"/>
      <c r="O9" s="42"/>
      <c r="P9" s="42"/>
      <c r="Q9" s="42"/>
    </row>
    <row r="10" spans="2:17" ht="30" customHeight="1">
      <c r="B10" s="557" t="s">
        <v>969</v>
      </c>
      <c r="C10" s="558"/>
      <c r="D10" s="559" t="s">
        <v>970</v>
      </c>
      <c r="E10" s="560"/>
      <c r="F10" s="560"/>
      <c r="G10" s="560"/>
      <c r="H10" s="560"/>
      <c r="I10" s="560"/>
      <c r="J10" s="561"/>
      <c r="K10" s="562" t="s">
        <v>971</v>
      </c>
      <c r="L10" s="563"/>
      <c r="M10" s="564"/>
      <c r="P10" s="48"/>
      <c r="Q10" s="48"/>
    </row>
    <row r="11" spans="2:17" ht="17.25" customHeight="1">
      <c r="B11" s="565" t="s">
        <v>972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973</v>
      </c>
      <c r="C13" s="55" t="s">
        <v>974</v>
      </c>
      <c r="D13" s="56">
        <f>SUMIFS('0610 4度C'!$K:$K,'0610 4度C'!$A:$A,"新豐6線",'0610 4度C'!$B:$B,"平均")</f>
        <v>130.43478260869566</v>
      </c>
      <c r="E13" s="57">
        <f>SUMIFS('0610 4度C'!$K:$K,'0610 4度C'!$A:$A,"新豐2線",'0610 4度C'!$B:$B,"平均")</f>
        <v>81.818181818181827</v>
      </c>
      <c r="F13" s="58">
        <f>SUMIFS('0610 4度C'!$K:$K,'0610 4度C'!$A:$A,"新豐5線",'0610 4度C'!$B:$B,"平均")</f>
        <v>89.84375</v>
      </c>
      <c r="G13" s="58">
        <f>SUMIFS('0610 4度C'!$K:$K,'0610 4度C'!$A:$A,"新豐7線",'0610 4度C'!$B:$B,"平均")</f>
        <v>131.35593220338984</v>
      </c>
      <c r="H13" s="58">
        <f>SUMIFS('0610 4度C'!$K:$K,'0610 4度C'!$A:$A,"新豐3線",'0610 4度C'!$B:$B,"平均")</f>
        <v>255.81395348837211</v>
      </c>
      <c r="I13" s="58">
        <f>SUMIFS('0610 4度C'!$K:$K,'0610 4度C'!$A:$A,"新豐1線",'0610 4度C'!$B:$B,"平均")</f>
        <v>108.52713178294574</v>
      </c>
      <c r="J13" s="59">
        <f>SUMIFS('0610 4度C'!$K:$K,'0610 4度C'!$A:$A,"新豐10線",'0610 4度C'!$B:$B,"平均")</f>
        <v>319.14893617021278</v>
      </c>
      <c r="K13" s="60">
        <f>SUMIFS('0610 4度C'!$K:$K,'0610 4度C'!$A:$A,"新豐8線",'0610 4度C'!$B:$B,"平均")</f>
        <v>138.12949640287769</v>
      </c>
      <c r="L13" s="61">
        <f>SUMIFS('0610 4度C'!$K:$K,'0610 4度C'!$A:$A,"新豐9線",'0610 4度C'!$B:$B,"平均")</f>
        <v>124.822695035461</v>
      </c>
      <c r="M13" s="59">
        <f>SUMIFS('0610 4度C'!$K:$K,'0610 4度C'!$A:$A,"新豐4線",'0610 4度C'!$B:$B,"平均")</f>
        <v>151.18110236220471</v>
      </c>
    </row>
    <row r="14" spans="2:17" ht="39.6" customHeight="1">
      <c r="B14" s="570"/>
      <c r="C14" s="62" t="s">
        <v>975</v>
      </c>
      <c r="D14" s="63">
        <f>SUMIFS('0610 4度C'!$N:$N,'0610 4度C'!$A:$A,"新豐6線",'0610 4度C'!$B:$B,"平均")</f>
        <v>124.19525533702165</v>
      </c>
      <c r="E14" s="64">
        <f>SUMIFS('0610 4度C'!$N:$N,'0610 4度C'!$A:$A,"新豐2線",'0610 4度C'!$B:$B,"平均")</f>
        <v>78.097218335088598</v>
      </c>
      <c r="F14" s="64">
        <f>SUMIFS('0610 4度C'!$N:$N,'0610 4度C'!$A:$A,"新豐5線",'0610 4度C'!$B:$B,"平均")</f>
        <v>85.874379356549071</v>
      </c>
      <c r="G14" s="64">
        <f>SUMIFS('0610 4度C'!$N:$N,'0610 4度C'!$A:$A,"新豐7線",'0610 4度C'!$B:$B,"平均")</f>
        <v>126.36334463964248</v>
      </c>
      <c r="H14" s="64">
        <f>SUMIFS('0610 4度C'!$N:$N,'0610 4度C'!$A:$A,"新豐3線",'0610 4度C'!$B:$B,"平均")</f>
        <v>244.94722389882077</v>
      </c>
      <c r="I14" s="64">
        <f>SUMIFS('0610 4度C'!$N:$N,'0610 4度C'!$A:$A,"新豐1線",'0610 4度C'!$B:$B,"平均")</f>
        <v>104.20111275526156</v>
      </c>
      <c r="J14" s="65">
        <f>SUMIFS('0610 4度C'!$N:$N,'0610 4度C'!$A:$A,"新豐10線",'0610 4度C'!$B:$B,"平均")</f>
        <v>306.68593504172111</v>
      </c>
      <c r="K14" s="66">
        <f>SUMIFS('0610 4度C'!$N:$N,'0610 4度C'!$A:$A,"新豐8線",'0610 4度C'!$B:$B,"平均")</f>
        <v>132.10002237133273</v>
      </c>
      <c r="L14" s="67">
        <f>SUMIFS('0610 4度C'!$N:$N,'0610 4度C'!$A:$A,"新豐9線",'0610 4度C'!$B:$B,"平均")</f>
        <v>119.43280939399907</v>
      </c>
      <c r="M14" s="65">
        <f>SUMIFS('0610 4度C'!$N:$N,'0610 4度C'!$A:$A,"新豐4線",'0610 4度C'!$B:$B,"平均")</f>
        <v>144.9211207999025</v>
      </c>
    </row>
    <row r="15" spans="2:17" ht="40.15" customHeight="1">
      <c r="B15" s="571"/>
      <c r="C15" s="68" t="s">
        <v>976</v>
      </c>
      <c r="D15" s="69">
        <f t="shared" ref="D15:M15" si="0">D14/D13</f>
        <v>0.95216362425049927</v>
      </c>
      <c r="E15" s="70">
        <f t="shared" si="0"/>
        <v>0.95452155742886058</v>
      </c>
      <c r="F15" s="70">
        <f t="shared" si="0"/>
        <v>0.95581917892506796</v>
      </c>
      <c r="G15" s="70">
        <f t="shared" si="0"/>
        <v>0.96199191403082651</v>
      </c>
      <c r="H15" s="70">
        <f t="shared" si="0"/>
        <v>0.95752096614993565</v>
      </c>
      <c r="I15" s="70">
        <f t="shared" si="0"/>
        <v>0.96013882467348144</v>
      </c>
      <c r="J15" s="71">
        <f t="shared" si="0"/>
        <v>0.96094926313072615</v>
      </c>
      <c r="K15" s="69">
        <f t="shared" si="0"/>
        <v>0.95634912029246089</v>
      </c>
      <c r="L15" s="70">
        <f t="shared" si="0"/>
        <v>0.95681966616783343</v>
      </c>
      <c r="M15" s="71">
        <f t="shared" si="0"/>
        <v>0.95859283029102182</v>
      </c>
    </row>
    <row r="16" spans="2:17" ht="17.25" customHeight="1">
      <c r="B16" s="572" t="s">
        <v>977</v>
      </c>
      <c r="C16" s="72" t="s">
        <v>978</v>
      </c>
      <c r="D16" s="73">
        <f>VLOOKUP("新豐6線",'0610 4度C'!$A:$T,19,0)</f>
        <v>0.70833333333333337</v>
      </c>
      <c r="E16" s="74">
        <f>VLOOKUP("新豐2線",'0610 4度C'!$A:$T,19,0)</f>
        <v>8.3333333333333329E-2</v>
      </c>
      <c r="F16" s="74">
        <f>VLOOKUP("新豐5線",'0610 4度C'!$A:$T,19,0)</f>
        <v>8.3333333333333329E-2</v>
      </c>
      <c r="G16" s="74">
        <f>VLOOKUP("新豐7線",'0610 4度C'!$A:$T,19,0)</f>
        <v>0.20833333333333334</v>
      </c>
      <c r="H16" s="74">
        <f>VLOOKUP("新豐3線",'0610 4度C'!$A:$T,19,0)</f>
        <v>8.3333333333333329E-2</v>
      </c>
      <c r="I16" s="74">
        <f>VLOOKUP("新豐1線",'0610 4度C'!$A:$T,19,0)</f>
        <v>0.16666666666666666</v>
      </c>
      <c r="J16" s="75">
        <f>VLOOKUP("新豐10線",'0610 4度C'!$A:$T,19,0)</f>
        <v>0.20833333333333334</v>
      </c>
      <c r="K16" s="76">
        <f>VLOOKUP("新豐8線",'0610 4度C'!$A:$T,19,0)</f>
        <v>8.3333333333333329E-2</v>
      </c>
      <c r="L16" s="77">
        <f>VLOOKUP("新豐9線",'0610 4度C'!$A:$T,19,0)</f>
        <v>8.3333333333333329E-2</v>
      </c>
      <c r="M16" s="78">
        <f>VLOOKUP("新豐4線",'0610 4度C'!$A:$T,19,0)</f>
        <v>8.3333333333333329E-2</v>
      </c>
    </row>
    <row r="17" spans="2:13" ht="17.25" customHeight="1">
      <c r="B17" s="573"/>
      <c r="C17" s="72" t="s">
        <v>979</v>
      </c>
      <c r="D17" s="76">
        <f>LOOKUP(2,1/(('0610 4度C'!$A:$A="新豐6線")*('0610 4度C'!$T:$T&lt;&gt;"")),'0610 4度C'!$T:$T)</f>
        <v>0.85972222222222228</v>
      </c>
      <c r="E17" s="74">
        <f>LOOKUP(2,1/(('0610 4度C'!$A:$A="新豐2線")*('0610 4度C'!$T:$T&lt;&gt;"")),'0610 4度C'!$T:$T)</f>
        <v>0.52777777777777768</v>
      </c>
      <c r="F17" s="74">
        <f>LOOKUP(2,1/(('0610 4度C'!$A:$A="新豐5線")*('0610 4度C'!$T:$T&lt;&gt;"")),'0610 4度C'!$T:$T)</f>
        <v>0.82430555555555551</v>
      </c>
      <c r="G17" s="74">
        <f>LOOKUP(2,1/(('0610 4度C'!$A:$A="新豐7線")*('0610 4度C'!$T:$T&lt;&gt;"")),'0610 4度C'!$T:$T)</f>
        <v>0.9291666666666667</v>
      </c>
      <c r="H17" s="74">
        <f>LOOKUP(2,1/(('0610 4度C'!$A:$A="新豐3線")*('0610 4度C'!$T:$T&lt;&gt;"")),'0610 4度C'!$T:$T)</f>
        <v>0.39374999999999993</v>
      </c>
      <c r="I17" s="74">
        <f>LOOKUP(2,1/(('0610 4度C'!$A:$A="新豐1線")*('0610 4度C'!$T:$T&lt;&gt;"")),'0610 4度C'!$T:$T)</f>
        <v>0.8618055555555556</v>
      </c>
      <c r="J17" s="75">
        <f>LOOKUP(2,1/(('0610 4度C'!$A:$A="新豐10線")*('0610 4度C'!$T:$T&lt;&gt;"")),'0610 4度C'!$T:$T)</f>
        <v>0.40069444444444446</v>
      </c>
      <c r="K17" s="73">
        <f>LOOKUP(2,1/(('0610 4度C'!$A:$A="新豐8線")*('0610 4度C'!$T:$T&lt;&gt;"")),'0610 4度C'!$T:$T)</f>
        <v>0.72499999999999987</v>
      </c>
      <c r="L17" s="74">
        <f>LOOKUP(2,1/(('0610 4度C'!$A:$A="新豐9線")*('0610 4度C'!$T:$T&lt;&gt;"")),'0610 4度C'!$T:$T)</f>
        <v>0.72847222222222219</v>
      </c>
      <c r="M17" s="75">
        <f>LOOKUP(2,1/(('0610 4度C'!$A:$A="新豐4線")*('0610 4度C'!$T:$T&lt;&gt;"")),'0610 4度C'!$T:$T)</f>
        <v>0.72291666666666654</v>
      </c>
    </row>
    <row r="18" spans="2:13" ht="17.25" customHeight="1">
      <c r="B18" s="551" t="s">
        <v>980</v>
      </c>
      <c r="C18" s="79" t="s">
        <v>981</v>
      </c>
      <c r="D18" s="80">
        <f>SUMIFS('0610 4度C'!$Y:$Y,'0610 4度C'!$A:$A,"新豐6線",'0610 4度C'!$B:$B,"平均")</f>
        <v>0</v>
      </c>
      <c r="E18" s="81">
        <f>SUMIFS('0610 4度C'!$Y:$Y,'0610 4度C'!$A:$A,"新豐2線",'0610 4度C'!$B:$B,"平均")</f>
        <v>0</v>
      </c>
      <c r="F18" s="81">
        <f>SUMIFS('0610 4度C'!$Y:$Y,'0610 4度C'!$A:$A,"新豐5線",'0610 4度C'!$B:$B,"平均")</f>
        <v>0</v>
      </c>
      <c r="G18" s="81">
        <f>SUMIFS('0610 4度C'!$Y:$Y,'0610 4度C'!$A:$A,"新豐7線",'0610 4度C'!$B:$B,"平均")</f>
        <v>0</v>
      </c>
      <c r="H18" s="81">
        <f>SUMIFS('0610 4度C'!$Y:$Y,'0610 4度C'!$A:$A,"新豐3線",'0610 4度C'!$B:$B,"平均")</f>
        <v>0</v>
      </c>
      <c r="I18" s="81">
        <f>SUMIFS('0610 4度C'!$Y:$Y,'0610 4度C'!$A:$A,"新豐1線",'0610 4度C'!$B:$B,"平均")</f>
        <v>0</v>
      </c>
      <c r="J18" s="82">
        <f>SUMIFS('0610 4度C'!$Y:$Y,'0610 4度C'!$A:$A,"新豐10線",'0610 4度C'!$B:$B,"平均")</f>
        <v>0</v>
      </c>
      <c r="K18" s="83">
        <f>SUMIFS('0610 4度C'!$Y:$Y,'0610 4度C'!$A:$A,"新豐8線",'0610 4度C'!$B:$B,"平均")</f>
        <v>0</v>
      </c>
      <c r="L18" s="81">
        <f>SUMIFS('0610 4度C'!$Y:$Y,'0610 4度C'!$A:$A,"新豐9線",'0610 4度C'!$B:$B,"平均")</f>
        <v>0</v>
      </c>
      <c r="M18" s="82">
        <f>SUMIFS('0610 4度C'!$Y:$Y,'0610 4度C'!$A:$A,"新豐4線",'0610 4度C'!$B:$B,"平均")</f>
        <v>0</v>
      </c>
    </row>
    <row r="19" spans="2:13" ht="17.25" customHeight="1">
      <c r="B19" s="552"/>
      <c r="C19" s="79" t="s">
        <v>982</v>
      </c>
      <c r="D19" s="80">
        <f>SUMIFS('0610 4度C'!$Z:$Z,'0610 4度C'!$A:$A,"新豐6線",'0610 4度C'!$B:$B,"平均")</f>
        <v>0</v>
      </c>
      <c r="E19" s="81">
        <f>SUMIFS('0610 4度C'!$Z:$Z,'0610 4度C'!$A:$A,"新豐2線",'0610 4度C'!$B:$B,"平均")</f>
        <v>0</v>
      </c>
      <c r="F19" s="81">
        <f>SUMIFS('0610 4度C'!$Z:$Z,'0610 4度C'!$A:$A,"新豐5線",'0610 4度C'!$B:$B,"平均")</f>
        <v>0</v>
      </c>
      <c r="G19" s="81">
        <f>SUMIFS('0610 4度C'!$Z:$Z,'0610 4度C'!$A:$A,"新豐7線",'0610 4度C'!$B:$B,"平均")</f>
        <v>0</v>
      </c>
      <c r="H19" s="81">
        <f>SUMIFS('0610 4度C'!$Z:$Z,'0610 4度C'!$A:$A,"新豐3線",'0610 4度C'!$B:$B,"平均")</f>
        <v>0</v>
      </c>
      <c r="I19" s="81">
        <f>SUMIFS('0610 4度C'!$Z:$Z,'0610 4度C'!$A:$A,"新豐1線",'0610 4度C'!$B:$B,"平均")</f>
        <v>0</v>
      </c>
      <c r="J19" s="82">
        <f>SUMIFS('0610 4度C'!$Z:$Z,'0610 4度C'!$A:$A,"新豐10線",'0610 4度C'!$B:$B,"平均")</f>
        <v>0</v>
      </c>
      <c r="K19" s="83">
        <f>SUMIFS('0610 4度C'!$Z:$Z,'0610 4度C'!$A:$A,"新豐8線",'0610 4度C'!$B:$B,"平均")</f>
        <v>0</v>
      </c>
      <c r="L19" s="81">
        <f>SUMIFS('0610 4度C'!$Z:$Z,'0610 4度C'!$A:$A,"新豐9線",'0610 4度C'!$B:$B,"平均")</f>
        <v>0</v>
      </c>
      <c r="M19" s="82">
        <f>SUMIFS('0610 4度C'!$Z:$Z,'0610 4度C'!$A:$A,"新豐4線",'0610 4度C'!$B:$B,"平均")</f>
        <v>0</v>
      </c>
    </row>
    <row r="20" spans="2:13" ht="17.25" customHeight="1">
      <c r="B20" s="551" t="s">
        <v>983</v>
      </c>
      <c r="C20" s="79" t="s">
        <v>981</v>
      </c>
      <c r="D20" s="80">
        <f>SUMIFS('0610 4度C'!$AC:$AC,'0610 4度C'!$A:$A,"新豐6線",'0610 4度C'!$B:$B,"平均")</f>
        <v>3</v>
      </c>
      <c r="E20" s="81">
        <f>SUMIFS('0610 4度C'!$AC:$AC,'0610 4度C'!$A:$A,"新豐2線",'0610 4度C'!$B:$B,"平均")</f>
        <v>3</v>
      </c>
      <c r="F20" s="81">
        <f>SUMIFS('0610 4度C'!$AC:$AC,'0610 4度C'!$A:$A,"新豐5線",'0610 4度C'!$B:$B,"平均")</f>
        <v>7</v>
      </c>
      <c r="G20" s="81">
        <f>SUMIFS('0610 4度C'!$AC:$AC,'0610 4度C'!$A:$A,"新豐7線",'0610 4度C'!$B:$B,"平均")</f>
        <v>8</v>
      </c>
      <c r="H20" s="81">
        <f>SUMIFS('0610 4度C'!$AC:$AC,'0610 4度C'!$A:$A,"新豐3線",'0610 4度C'!$B:$B,"平均")</f>
        <v>4</v>
      </c>
      <c r="I20" s="81">
        <f>SUMIFS('0610 4度C'!$AC:$AC,'0610 4度C'!$A:$A,"新豐1線",'0610 4度C'!$B:$B,"平均")</f>
        <v>7</v>
      </c>
      <c r="J20" s="82">
        <f>SUMIFS('0610 4度C'!$AC:$AC,'0610 4度C'!$A:$A,"新豐10線",'0610 4度C'!$B:$B,"平均")</f>
        <v>5</v>
      </c>
      <c r="K20" s="83">
        <f>SUMIFS('0610 4度C'!$AC:$AC,'0610 4度C'!$A:$A,"新豐8線",'0610 4度C'!$B:$B,"平均")</f>
        <v>8</v>
      </c>
      <c r="L20" s="81">
        <f>SUMIFS('0610 4度C'!$AC:$AC,'0610 4度C'!$A:$A,"新豐9線",'0610 4度C'!$B:$B,"平均")</f>
        <v>8</v>
      </c>
      <c r="M20" s="82">
        <f>SUMIFS('0610 4度C'!$AC:$AC,'0610 4度C'!$A:$A,"新豐4線",'0610 4度C'!$B:$B,"平均")</f>
        <v>8</v>
      </c>
    </row>
    <row r="21" spans="2:13" ht="17.25" customHeight="1">
      <c r="B21" s="552"/>
      <c r="C21" s="79" t="s">
        <v>984</v>
      </c>
      <c r="D21" s="80">
        <f>SUMIFS('0610 4度C'!$AD:$AD,'0610 4度C'!$A:$A,"新豐6線",'0610 4度C'!$B:$B,"平均")</f>
        <v>0</v>
      </c>
      <c r="E21" s="81">
        <f>SUMIFS('0610 4度C'!$AD:$AD,'0610 4度C'!$A:$A,"新豐2線",'0610 4度C'!$B:$B,"平均")</f>
        <v>0</v>
      </c>
      <c r="F21" s="81">
        <f>SUMIFS('0610 4度C'!$AD:$AD,'0610 4度C'!$A:$A,"新豐5線",'0610 4度C'!$B:$B,"平均")</f>
        <v>0</v>
      </c>
      <c r="G21" s="81">
        <f>SUMIFS('0610 4度C'!$AD:$AD,'0610 4度C'!$A:$A,"新豐7線",'0610 4度C'!$B:$B,"平均")</f>
        <v>0</v>
      </c>
      <c r="H21" s="81">
        <f>SUMIFS('0610 4度C'!$AD:$AD,'0610 4度C'!$A:$A,"新豐3線",'0610 4度C'!$B:$B,"平均")</f>
        <v>0</v>
      </c>
      <c r="I21" s="81">
        <f>SUMIFS('0610 4度C'!$AD:$AD,'0610 4度C'!$A:$A,"新豐1線",'0610 4度C'!$B:$B,"平均")</f>
        <v>0</v>
      </c>
      <c r="J21" s="82">
        <f>SUMIFS('0610 4度C'!$AD:$AD,'0610 4度C'!$A:$A,"新豐10線",'0610 4度C'!$B:$B,"平均")</f>
        <v>0</v>
      </c>
      <c r="K21" s="83">
        <f>SUMIFS('0610 4度C'!$AD:$AD,'0610 4度C'!$A:$A,"新豐8線",'0610 4度C'!$B:$B,"平均")</f>
        <v>0</v>
      </c>
      <c r="L21" s="81">
        <f>SUMIFS('0610 4度C'!$AD:$AD,'0610 4度C'!$A:$A,"新豐9線",'0610 4度C'!$B:$B,"平均")</f>
        <v>0</v>
      </c>
      <c r="M21" s="82">
        <f>SUMIFS('0610 4度C'!$AD:$AD,'0610 4度C'!$A:$A,"新豐4線",'0610 4度C'!$B:$B,"平均")</f>
        <v>0</v>
      </c>
    </row>
    <row r="22" spans="2:13" ht="17.25" customHeight="1">
      <c r="B22" s="553" t="s">
        <v>985</v>
      </c>
      <c r="C22" s="554"/>
      <c r="D22" s="84">
        <f>SUMIFS('0610 4度C'!$I:$I,'0610 4度C'!$A:$A,"新豐6線",'0610 4度C'!$B:$B,"平均")</f>
        <v>15.333333333333334</v>
      </c>
      <c r="E22" s="85">
        <f>SUMIFS('0610 4度C'!$I:$I,'0610 4度C'!$A:$A,"新豐2線",'0610 4度C'!$B:$B,"平均")</f>
        <v>18.333333333333332</v>
      </c>
      <c r="F22" s="85">
        <f>SUMIFS('0610 4度C'!$I:$I,'0610 4度C'!$A:$A,"新豐5線",'0610 4度C'!$B:$B,"平均")</f>
        <v>18.285714285714285</v>
      </c>
      <c r="G22" s="85">
        <f>SUMIFS('0610 4度C'!$I:$I,'0610 4度C'!$A:$A,"新豐7線",'0610 4度C'!$B:$B,"平均")</f>
        <v>14.75</v>
      </c>
      <c r="H22" s="85">
        <f>SUMIFS('0610 4度C'!$I:$I,'0610 4度C'!$A:$A,"新豐3線",'0610 4度C'!$B:$B,"平均")</f>
        <v>10.75</v>
      </c>
      <c r="I22" s="85">
        <f>SUMIFS('0610 4度C'!$I:$I,'0610 4度C'!$A:$A,"新豐1線",'0610 4度C'!$B:$B,"平均")</f>
        <v>18.428571428571427</v>
      </c>
      <c r="J22" s="86">
        <f>SUMIFS('0610 4度C'!$I:$I,'0610 4度C'!$A:$A,"新豐10線",'0610 4度C'!$B:$B,"平均")</f>
        <v>9.4</v>
      </c>
      <c r="K22" s="84">
        <f>SUMIFS('0610 4度C'!$I:$I,'0610 4度C'!$A:$A,"新豐8線",'0610 4度C'!$B:$B,"平均")</f>
        <v>17.375</v>
      </c>
      <c r="L22" s="85">
        <f>SUMIFS('0610 4度C'!$I:$I,'0610 4度C'!$A:$A,"新豐9線",'0610 4度C'!$B:$B,"平均")</f>
        <v>17.625</v>
      </c>
      <c r="M22" s="86">
        <f>SUMIFS('0610 4度C'!$I:$I,'0610 4度C'!$A:$A,"新豐4線",'0610 4度C'!$B:$B,"平均")</f>
        <v>15.875</v>
      </c>
    </row>
    <row r="23" spans="2:13" ht="17.25" customHeight="1">
      <c r="B23" s="553" t="s">
        <v>986</v>
      </c>
      <c r="C23" s="554"/>
      <c r="D23" s="87" t="s">
        <v>71</v>
      </c>
      <c r="E23" s="88" t="s">
        <v>72</v>
      </c>
      <c r="F23" s="88" t="s">
        <v>987</v>
      </c>
      <c r="G23" s="88" t="s">
        <v>987</v>
      </c>
      <c r="H23" s="88" t="s">
        <v>73</v>
      </c>
      <c r="I23" s="88" t="s">
        <v>71</v>
      </c>
      <c r="J23" s="89" t="s">
        <v>73</v>
      </c>
      <c r="K23" s="87" t="s">
        <v>988</v>
      </c>
      <c r="L23" s="88" t="s">
        <v>988</v>
      </c>
      <c r="M23" s="89" t="s">
        <v>988</v>
      </c>
    </row>
    <row r="24" spans="2:13" ht="17.25" customHeight="1">
      <c r="B24" s="553" t="s">
        <v>989</v>
      </c>
      <c r="C24" s="554"/>
      <c r="D24" s="87"/>
      <c r="E24" s="88"/>
      <c r="F24" s="88" t="s">
        <v>990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991</v>
      </c>
      <c r="C25" s="556"/>
      <c r="D25" s="90"/>
      <c r="E25" s="91" t="s">
        <v>992</v>
      </c>
      <c r="F25" s="549" t="s">
        <v>993</v>
      </c>
      <c r="G25" s="550"/>
      <c r="H25" s="91" t="s">
        <v>994</v>
      </c>
      <c r="I25" s="91" t="s">
        <v>995</v>
      </c>
      <c r="J25" s="92" t="s">
        <v>994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0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topLeftCell="F1" zoomScale="80" zoomScaleNormal="80" workbookViewId="0">
      <pane ySplit="4" topLeftCell="A43" activePane="bottomLeft" state="frozen"/>
      <selection activeCell="E5" sqref="E5:F5"/>
      <selection pane="bottomLeft" activeCell="X56" sqref="X5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996</v>
      </c>
      <c r="B1" s="1"/>
      <c r="C1" s="2" t="s">
        <v>997</v>
      </c>
      <c r="D1" s="3">
        <f>SUM(F5:F75)</f>
        <v>196278</v>
      </c>
      <c r="E1" s="236" t="s">
        <v>998</v>
      </c>
      <c r="F1" s="1">
        <f>SUM(G5:G75)</f>
        <v>6804547.9699999988</v>
      </c>
      <c r="G1" s="1" t="s">
        <v>999</v>
      </c>
      <c r="H1" s="4">
        <f>L8+L12+L52+L60+L20+L66+L38+L47+L29+L75</f>
        <v>156.15595238095239</v>
      </c>
      <c r="I1" s="663" t="s">
        <v>1000</v>
      </c>
      <c r="J1" s="663"/>
      <c r="K1" s="663"/>
      <c r="L1" s="663" t="s">
        <v>1001</v>
      </c>
      <c r="M1" s="663"/>
      <c r="N1" s="663"/>
      <c r="O1" s="663" t="s">
        <v>1002</v>
      </c>
      <c r="P1" s="663"/>
      <c r="Q1" s="663"/>
      <c r="R1" s="663"/>
      <c r="S1" s="663" t="s">
        <v>1003</v>
      </c>
      <c r="T1" s="663"/>
      <c r="U1" s="663"/>
      <c r="V1" s="663"/>
      <c r="W1" s="663"/>
      <c r="X1" s="663"/>
      <c r="Y1" s="5" t="s">
        <v>1004</v>
      </c>
      <c r="Z1" s="6" t="s">
        <v>1005</v>
      </c>
      <c r="AA1" s="664" t="s">
        <v>1006</v>
      </c>
      <c r="AB1" s="664"/>
      <c r="AC1" s="94" t="s">
        <v>1004</v>
      </c>
      <c r="AD1" s="6" t="s">
        <v>1007</v>
      </c>
      <c r="AE1" s="663" t="s">
        <v>1008</v>
      </c>
      <c r="AF1" s="665"/>
      <c r="AG1" s="665"/>
    </row>
    <row r="2" spans="1:33" ht="26.25" customHeight="1">
      <c r="A2" s="27">
        <v>46183</v>
      </c>
      <c r="B2" s="28" t="s">
        <v>337</v>
      </c>
      <c r="C2" s="2" t="s">
        <v>1009</v>
      </c>
      <c r="D2" s="8">
        <f>AVERAGE(N8,N12,N52,N60,N20,N66,N29,N38,N47,N75)</f>
        <v>146.68184219293394</v>
      </c>
      <c r="E2" s="9" t="s">
        <v>0</v>
      </c>
      <c r="F2" s="10">
        <f>F1/D1</f>
        <v>34.667909648559693</v>
      </c>
      <c r="G2" s="1" t="s">
        <v>1010</v>
      </c>
      <c r="H2" s="248">
        <f>COUNT(H5:H75)</f>
        <v>10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SUM(Y8+Y12+Y20+Y29+Y38+Y47+Y52+Y60+Y66+Y75)</f>
        <v>0</v>
      </c>
      <c r="Z2" s="11">
        <f>SUM(Z8+Z12+Z20+Z29+Z38+Z47+Z52+Z60+Z66+Z75)</f>
        <v>0</v>
      </c>
      <c r="AA2" s="664"/>
      <c r="AB2" s="664"/>
      <c r="AC2" s="95">
        <v>61</v>
      </c>
      <c r="AD2" s="11">
        <f>SUM(AD8+AD12+AD20+AD29+AD38+AD47+AD52+AD60+AD66+AD75)</f>
        <v>0</v>
      </c>
      <c r="AE2" s="665"/>
      <c r="AF2" s="665"/>
      <c r="AG2" s="665"/>
    </row>
    <row r="3" spans="1:33" ht="40.5" customHeight="1">
      <c r="A3" s="617" t="s">
        <v>1011</v>
      </c>
      <c r="B3" s="617" t="s">
        <v>1012</v>
      </c>
      <c r="C3" s="617" t="s">
        <v>1013</v>
      </c>
      <c r="D3" s="617"/>
      <c r="E3" s="661" t="s">
        <v>1014</v>
      </c>
      <c r="F3" s="617" t="s">
        <v>1015</v>
      </c>
      <c r="G3" s="661" t="s">
        <v>1016</v>
      </c>
      <c r="H3" s="654" t="s">
        <v>1017</v>
      </c>
      <c r="I3" s="652" t="s">
        <v>1018</v>
      </c>
      <c r="J3" s="649" t="s">
        <v>1019</v>
      </c>
      <c r="K3" s="659" t="s">
        <v>1009</v>
      </c>
      <c r="L3" s="652" t="s">
        <v>1018</v>
      </c>
      <c r="M3" s="649" t="s">
        <v>1019</v>
      </c>
      <c r="N3" s="659" t="s">
        <v>1009</v>
      </c>
      <c r="O3" s="652" t="s">
        <v>1018</v>
      </c>
      <c r="P3" s="659" t="s">
        <v>1009</v>
      </c>
      <c r="Q3" s="650" t="s">
        <v>1020</v>
      </c>
      <c r="R3" s="630" t="s">
        <v>1021</v>
      </c>
      <c r="S3" s="660" t="s">
        <v>1</v>
      </c>
      <c r="T3" s="660"/>
      <c r="U3" s="654" t="s">
        <v>2</v>
      </c>
      <c r="V3" s="654" t="s">
        <v>1022</v>
      </c>
      <c r="W3" s="617" t="s">
        <v>1023</v>
      </c>
      <c r="X3" s="617"/>
      <c r="Y3" s="655" t="s">
        <v>1024</v>
      </c>
      <c r="Z3" s="614"/>
      <c r="AA3" s="656" t="s">
        <v>1025</v>
      </c>
      <c r="AB3" s="657"/>
      <c r="AC3" s="655" t="s">
        <v>1026</v>
      </c>
      <c r="AD3" s="614"/>
      <c r="AE3" s="649" t="s">
        <v>1019</v>
      </c>
      <c r="AF3" s="650" t="s">
        <v>1020</v>
      </c>
      <c r="AG3" s="630" t="s">
        <v>1027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247" t="s">
        <v>3</v>
      </c>
      <c r="T4" s="247" t="s">
        <v>4</v>
      </c>
      <c r="U4" s="654"/>
      <c r="V4" s="654"/>
      <c r="W4" s="236" t="s">
        <v>1028</v>
      </c>
      <c r="X4" s="236" t="s">
        <v>1029</v>
      </c>
      <c r="Y4" s="235" t="s">
        <v>1030</v>
      </c>
      <c r="Z4" s="235" t="s">
        <v>1031</v>
      </c>
      <c r="AA4" s="658"/>
      <c r="AB4" s="657"/>
      <c r="AC4" s="235" t="s">
        <v>1032</v>
      </c>
      <c r="AD4" s="235" t="s">
        <v>1033</v>
      </c>
      <c r="AE4" s="649"/>
      <c r="AF4" s="650"/>
      <c r="AG4" s="630"/>
    </row>
    <row r="5" spans="1:33">
      <c r="A5" s="651" t="s">
        <v>1034</v>
      </c>
      <c r="B5" s="29" t="s">
        <v>15</v>
      </c>
      <c r="C5" s="653" t="s">
        <v>17</v>
      </c>
      <c r="D5" s="653"/>
      <c r="E5" s="29">
        <v>50.67</v>
      </c>
      <c r="F5" s="247">
        <v>1588</v>
      </c>
      <c r="G5" s="236">
        <f t="shared" ref="G5:G7" si="0">E5*F5</f>
        <v>80463.960000000006</v>
      </c>
      <c r="H5" s="33" t="s">
        <v>57</v>
      </c>
      <c r="I5" s="245">
        <v>15</v>
      </c>
      <c r="J5" s="31">
        <v>2000</v>
      </c>
      <c r="K5" s="12">
        <f t="shared" ref="K5:K68" si="1">J5/I5</f>
        <v>133.33333333333334</v>
      </c>
      <c r="L5" s="245">
        <v>15</v>
      </c>
      <c r="M5" s="13">
        <f t="shared" ref="M5:M7" si="2">F5/V5*60</f>
        <v>1905.6000000000006</v>
      </c>
      <c r="N5" s="12">
        <f t="shared" ref="N5:N68" si="3">M5/L5</f>
        <v>127.04000000000003</v>
      </c>
      <c r="O5" s="14">
        <f t="shared" ref="O5:O68" si="4">L5-I5</f>
        <v>0</v>
      </c>
      <c r="P5" s="15">
        <f t="shared" ref="P5:P68" si="5">N5-K5</f>
        <v>-6.2933333333333081</v>
      </c>
      <c r="Q5" s="241">
        <f t="shared" ref="Q5:Q68" si="6">N5/K5</f>
        <v>0.9528000000000002</v>
      </c>
      <c r="R5" s="615">
        <f>Q8</f>
        <v>0.95216362425049927</v>
      </c>
      <c r="S5" s="34">
        <v>0.70833333333333337</v>
      </c>
      <c r="T5" s="34">
        <v>0.74305555555555558</v>
      </c>
      <c r="U5" s="236"/>
      <c r="V5" s="246">
        <f t="shared" ref="V5:V7" si="7">(T5-S5)*24*60</f>
        <v>49.999999999999986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9" si="8">M5-J5</f>
        <v>-94.399999999999409</v>
      </c>
      <c r="AF5" s="241">
        <f t="shared" ref="AF5:AF68" si="9">M5/J5</f>
        <v>0.95280000000000031</v>
      </c>
      <c r="AG5" s="615">
        <f>AF8</f>
        <v>0.95216362425049927</v>
      </c>
    </row>
    <row r="6" spans="1:33">
      <c r="A6" s="652" t="s">
        <v>1035</v>
      </c>
      <c r="B6" s="29" t="s">
        <v>15</v>
      </c>
      <c r="C6" s="653" t="s">
        <v>26</v>
      </c>
      <c r="D6" s="653"/>
      <c r="E6" s="29">
        <v>50.92</v>
      </c>
      <c r="F6" s="247">
        <v>2408</v>
      </c>
      <c r="G6" s="236">
        <f t="shared" si="0"/>
        <v>122615.36</v>
      </c>
      <c r="H6" s="33" t="s">
        <v>57</v>
      </c>
      <c r="I6" s="245">
        <v>15</v>
      </c>
      <c r="J6" s="31">
        <v>2000</v>
      </c>
      <c r="K6" s="12">
        <f t="shared" si="1"/>
        <v>133.33333333333334</v>
      </c>
      <c r="L6" s="245">
        <v>15</v>
      </c>
      <c r="M6" s="13">
        <f t="shared" si="2"/>
        <v>1901.0526315789459</v>
      </c>
      <c r="N6" s="12">
        <f t="shared" si="3"/>
        <v>126.73684210526307</v>
      </c>
      <c r="O6" s="14">
        <f t="shared" si="4"/>
        <v>0</v>
      </c>
      <c r="P6" s="15">
        <f t="shared" si="5"/>
        <v>-6.5964912280702777</v>
      </c>
      <c r="Q6" s="241">
        <f t="shared" si="6"/>
        <v>0.95052631578947289</v>
      </c>
      <c r="R6" s="615"/>
      <c r="S6" s="34">
        <v>0.74861111111111112</v>
      </c>
      <c r="T6" s="34">
        <v>0.80138888888888893</v>
      </c>
      <c r="U6" s="236">
        <f t="shared" ref="U6:U7" si="10">IF(S6=TIME(17,0,0),"",(S6-T5)*24*60)</f>
        <v>7.9999999999999716</v>
      </c>
      <c r="V6" s="246">
        <f t="shared" si="7"/>
        <v>76.000000000000057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-98.94736842105408</v>
      </c>
      <c r="AF6" s="241">
        <f t="shared" si="9"/>
        <v>0.950526315789473</v>
      </c>
      <c r="AG6" s="615"/>
    </row>
    <row r="7" spans="1:33">
      <c r="A7" s="652" t="s">
        <v>1035</v>
      </c>
      <c r="B7" s="29" t="s">
        <v>15</v>
      </c>
      <c r="C7" s="644" t="s">
        <v>31</v>
      </c>
      <c r="D7" s="645"/>
      <c r="E7" s="29">
        <v>50.98</v>
      </c>
      <c r="F7" s="247">
        <v>2510</v>
      </c>
      <c r="G7" s="236">
        <f t="shared" si="0"/>
        <v>127959.79999999999</v>
      </c>
      <c r="H7" s="33" t="s">
        <v>57</v>
      </c>
      <c r="I7" s="245">
        <v>16</v>
      </c>
      <c r="J7" s="31">
        <v>2000</v>
      </c>
      <c r="K7" s="12">
        <f t="shared" si="1"/>
        <v>125</v>
      </c>
      <c r="L7" s="245">
        <v>16</v>
      </c>
      <c r="M7" s="13">
        <f t="shared" si="2"/>
        <v>1906.3291139240498</v>
      </c>
      <c r="N7" s="12">
        <f t="shared" si="3"/>
        <v>119.14556962025311</v>
      </c>
      <c r="O7" s="14">
        <f t="shared" si="4"/>
        <v>0</v>
      </c>
      <c r="P7" s="15">
        <f t="shared" si="5"/>
        <v>-5.8544303797468871</v>
      </c>
      <c r="Q7" s="241">
        <f t="shared" si="6"/>
        <v>0.95316455696202496</v>
      </c>
      <c r="R7" s="615"/>
      <c r="S7" s="34">
        <v>0.80486111111111114</v>
      </c>
      <c r="T7" s="34">
        <v>0.85972222222222228</v>
      </c>
      <c r="U7" s="236">
        <f t="shared" si="10"/>
        <v>4.9999999999999822</v>
      </c>
      <c r="V7" s="246">
        <f t="shared" si="7"/>
        <v>79.000000000000043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-93.670886075950193</v>
      </c>
      <c r="AF7" s="241">
        <f t="shared" si="9"/>
        <v>0.95316455696202496</v>
      </c>
      <c r="AG7" s="615"/>
    </row>
    <row r="8" spans="1:33">
      <c r="A8" s="652" t="s">
        <v>1035</v>
      </c>
      <c r="B8" s="29" t="s">
        <v>1036</v>
      </c>
      <c r="C8" s="618"/>
      <c r="D8" s="618"/>
      <c r="E8" s="242"/>
      <c r="F8" s="30"/>
      <c r="G8" s="12"/>
      <c r="H8" s="247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1904.3272485009986</v>
      </c>
      <c r="N8" s="12">
        <f t="shared" si="3"/>
        <v>124.19525533702165</v>
      </c>
      <c r="O8" s="14">
        <f t="shared" si="4"/>
        <v>0</v>
      </c>
      <c r="P8" s="15">
        <f t="shared" si="5"/>
        <v>-6.2395272716740067</v>
      </c>
      <c r="Q8" s="241">
        <f t="shared" si="6"/>
        <v>0.95216362425049927</v>
      </c>
      <c r="R8" s="615"/>
      <c r="S8" s="34"/>
      <c r="T8" s="34"/>
      <c r="U8" s="236"/>
      <c r="V8" s="246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-95.672751499001379</v>
      </c>
      <c r="AF8" s="241">
        <f t="shared" si="9"/>
        <v>0.95216362425049927</v>
      </c>
      <c r="AG8" s="615"/>
    </row>
    <row r="9" spans="1:33" ht="15.75" customHeight="1">
      <c r="A9" s="648" t="s">
        <v>1037</v>
      </c>
      <c r="B9" s="29" t="s">
        <v>19</v>
      </c>
      <c r="C9" s="644" t="s">
        <v>20</v>
      </c>
      <c r="D9" s="645"/>
      <c r="E9" s="29">
        <v>39.619999999999997</v>
      </c>
      <c r="F9" s="247">
        <v>4349</v>
      </c>
      <c r="G9" s="236">
        <f t="shared" ref="G9:G11" si="11">E9*F9</f>
        <v>172307.37999999998</v>
      </c>
      <c r="H9" s="33" t="s">
        <v>57</v>
      </c>
      <c r="I9" s="245">
        <v>19</v>
      </c>
      <c r="J9" s="31">
        <v>1500</v>
      </c>
      <c r="K9" s="12">
        <f t="shared" si="1"/>
        <v>78.94736842105263</v>
      </c>
      <c r="L9" s="245">
        <v>19</v>
      </c>
      <c r="M9" s="13">
        <f t="shared" ref="M9:M11" si="12">F9/V9*60</f>
        <v>1433.7362637362637</v>
      </c>
      <c r="N9" s="12">
        <f t="shared" si="3"/>
        <v>75.459803354540199</v>
      </c>
      <c r="O9" s="14">
        <f t="shared" si="4"/>
        <v>0</v>
      </c>
      <c r="P9" s="15">
        <f t="shared" si="5"/>
        <v>-3.4875650665124311</v>
      </c>
      <c r="Q9" s="241">
        <f t="shared" si="6"/>
        <v>0.95582417582417589</v>
      </c>
      <c r="R9" s="615">
        <f>Q12</f>
        <v>0.95452155742886058</v>
      </c>
      <c r="S9" s="34">
        <v>8.3333333333333329E-2</v>
      </c>
      <c r="T9" s="34">
        <v>0.2097222222222222</v>
      </c>
      <c r="U9" s="236"/>
      <c r="V9" s="246">
        <f t="shared" ref="V9:V11" si="13">(T9-S9)*24*60</f>
        <v>182</v>
      </c>
      <c r="W9" s="16">
        <f>T9</f>
        <v>0.2097222222222222</v>
      </c>
      <c r="X9" s="16">
        <f>S10</f>
        <v>0.22777777777777775</v>
      </c>
      <c r="Y9" s="16"/>
      <c r="Z9" s="16"/>
      <c r="AA9" s="617"/>
      <c r="AB9" s="617"/>
      <c r="AC9" s="35">
        <v>3</v>
      </c>
      <c r="AD9" s="18"/>
      <c r="AE9" s="14">
        <f t="shared" si="8"/>
        <v>-66.263736263736291</v>
      </c>
      <c r="AF9" s="241">
        <f t="shared" si="9"/>
        <v>0.95582417582417578</v>
      </c>
      <c r="AG9" s="615">
        <f>AF12</f>
        <v>0.95452155742886058</v>
      </c>
    </row>
    <row r="10" spans="1:33" ht="15.75" customHeight="1">
      <c r="A10" s="648" t="s">
        <v>1038</v>
      </c>
      <c r="B10" s="29" t="s">
        <v>19</v>
      </c>
      <c r="C10" s="644" t="s">
        <v>267</v>
      </c>
      <c r="D10" s="645"/>
      <c r="E10" s="29">
        <v>39.520000000000003</v>
      </c>
      <c r="F10" s="247">
        <v>3699</v>
      </c>
      <c r="G10" s="236">
        <f t="shared" si="11"/>
        <v>146184.48000000001</v>
      </c>
      <c r="H10" s="33" t="s">
        <v>57</v>
      </c>
      <c r="I10" s="245">
        <v>19</v>
      </c>
      <c r="J10" s="31">
        <v>1500</v>
      </c>
      <c r="K10" s="12">
        <f t="shared" si="1"/>
        <v>78.94736842105263</v>
      </c>
      <c r="L10" s="245">
        <v>19</v>
      </c>
      <c r="M10" s="13">
        <f t="shared" si="12"/>
        <v>1431.8709677419354</v>
      </c>
      <c r="N10" s="12">
        <f t="shared" si="3"/>
        <v>75.361629881154499</v>
      </c>
      <c r="O10" s="14">
        <f t="shared" si="4"/>
        <v>0</v>
      </c>
      <c r="P10" s="15">
        <f t="shared" si="5"/>
        <v>-3.5857385398981307</v>
      </c>
      <c r="Q10" s="241">
        <f t="shared" si="6"/>
        <v>0.95458064516129038</v>
      </c>
      <c r="R10" s="615"/>
      <c r="S10" s="34">
        <v>0.22777777777777775</v>
      </c>
      <c r="T10" s="34">
        <v>0.33541666666666664</v>
      </c>
      <c r="U10" s="236">
        <f t="shared" ref="U10:U11" si="14">IF(S10=TIME(17,0,0),"",(S10-T9)*24*60)</f>
        <v>25.999999999999986</v>
      </c>
      <c r="V10" s="246">
        <f t="shared" si="13"/>
        <v>155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-68.129032258064626</v>
      </c>
      <c r="AF10" s="241">
        <f t="shared" si="9"/>
        <v>0.95458064516129026</v>
      </c>
      <c r="AG10" s="615"/>
    </row>
    <row r="11" spans="1:33" ht="15.75" customHeight="1">
      <c r="A11" s="648" t="s">
        <v>1038</v>
      </c>
      <c r="B11" s="29" t="s">
        <v>19</v>
      </c>
      <c r="C11" s="644" t="s">
        <v>21</v>
      </c>
      <c r="D11" s="645"/>
      <c r="E11" s="29">
        <v>39.799999999999997</v>
      </c>
      <c r="F11" s="247">
        <v>6410</v>
      </c>
      <c r="G11" s="236">
        <f t="shared" si="11"/>
        <v>255117.99999999997</v>
      </c>
      <c r="H11" s="33" t="s">
        <v>57</v>
      </c>
      <c r="I11" s="245">
        <v>17</v>
      </c>
      <c r="J11" s="31">
        <v>1500</v>
      </c>
      <c r="K11" s="12">
        <f t="shared" si="1"/>
        <v>88.235294117647058</v>
      </c>
      <c r="L11" s="245">
        <v>17</v>
      </c>
      <c r="M11" s="13">
        <f t="shared" si="12"/>
        <v>1429.7397769516731</v>
      </c>
      <c r="N11" s="12">
        <f t="shared" si="3"/>
        <v>84.102339820686652</v>
      </c>
      <c r="O11" s="14">
        <f t="shared" si="4"/>
        <v>0</v>
      </c>
      <c r="P11" s="15">
        <f t="shared" si="5"/>
        <v>-4.1329542969604063</v>
      </c>
      <c r="Q11" s="241">
        <f t="shared" si="6"/>
        <v>0.95315985130111536</v>
      </c>
      <c r="R11" s="615"/>
      <c r="S11" s="34">
        <v>0.34097222222222218</v>
      </c>
      <c r="T11" s="34">
        <v>0.52777777777777768</v>
      </c>
      <c r="U11" s="236">
        <f t="shared" si="14"/>
        <v>7.9999999999999716</v>
      </c>
      <c r="V11" s="246">
        <f t="shared" si="13"/>
        <v>268.99999999999994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-70.260223048326907</v>
      </c>
      <c r="AF11" s="241">
        <f t="shared" si="9"/>
        <v>0.95315985130111536</v>
      </c>
      <c r="AG11" s="615"/>
    </row>
    <row r="12" spans="1:33" ht="16.5" customHeight="1">
      <c r="A12" s="648" t="s">
        <v>1038</v>
      </c>
      <c r="B12" s="29" t="s">
        <v>1039</v>
      </c>
      <c r="C12" s="618"/>
      <c r="D12" s="618"/>
      <c r="E12" s="242"/>
      <c r="F12" s="31"/>
      <c r="G12" s="13"/>
      <c r="H12" s="247"/>
      <c r="I12" s="23">
        <v>18.333333333333332</v>
      </c>
      <c r="J12" s="31">
        <v>1500</v>
      </c>
      <c r="K12" s="12">
        <f t="shared" si="1"/>
        <v>81.818181818181827</v>
      </c>
      <c r="L12" s="23">
        <v>18.333333333333332</v>
      </c>
      <c r="M12" s="13">
        <f>AVERAGE(M9:M11)</f>
        <v>1431.7823361432909</v>
      </c>
      <c r="N12" s="12">
        <f t="shared" si="3"/>
        <v>78.097218335088598</v>
      </c>
      <c r="O12" s="14">
        <f t="shared" si="4"/>
        <v>0</v>
      </c>
      <c r="P12" s="15">
        <f t="shared" si="5"/>
        <v>-3.7209634830932288</v>
      </c>
      <c r="Q12" s="241">
        <f t="shared" si="6"/>
        <v>0.95452155742886058</v>
      </c>
      <c r="R12" s="615"/>
      <c r="S12" s="34"/>
      <c r="T12" s="34"/>
      <c r="U12" s="12"/>
      <c r="V12" s="246"/>
      <c r="W12" s="12"/>
      <c r="X12" s="12"/>
      <c r="Y12" s="24">
        <f>SUM(Y9:Y11)</f>
        <v>0</v>
      </c>
      <c r="Z12" s="24">
        <f>SUM(Z9:Z11)</f>
        <v>0</v>
      </c>
      <c r="AA12" s="614"/>
      <c r="AB12" s="614"/>
      <c r="AC12" s="24">
        <v>3</v>
      </c>
      <c r="AD12" s="24">
        <f>SUM(AD9:AD11)</f>
        <v>0</v>
      </c>
      <c r="AE12" s="14">
        <f t="shared" si="8"/>
        <v>-68.217663856709123</v>
      </c>
      <c r="AF12" s="241">
        <f t="shared" si="9"/>
        <v>0.95452155742886058</v>
      </c>
      <c r="AG12" s="615"/>
    </row>
    <row r="13" spans="1:33" ht="16.5" customHeight="1">
      <c r="A13" s="646" t="s">
        <v>1040</v>
      </c>
      <c r="B13" s="247" t="s">
        <v>22</v>
      </c>
      <c r="C13" s="640" t="s">
        <v>23</v>
      </c>
      <c r="D13" s="640"/>
      <c r="E13" s="29">
        <v>41</v>
      </c>
      <c r="F13" s="247">
        <v>2330</v>
      </c>
      <c r="G13" s="236">
        <f t="shared" ref="G13:G19" si="15">E13*F13</f>
        <v>95530</v>
      </c>
      <c r="H13" s="33" t="s">
        <v>57</v>
      </c>
      <c r="I13" s="245">
        <v>26</v>
      </c>
      <c r="J13" s="31">
        <v>1500</v>
      </c>
      <c r="K13" s="12">
        <f t="shared" si="1"/>
        <v>57.692307692307693</v>
      </c>
      <c r="L13" s="245">
        <v>26</v>
      </c>
      <c r="M13" s="13">
        <f t="shared" ref="M13:M19" si="16">F13/V13*60</f>
        <v>1441.2371134020618</v>
      </c>
      <c r="N13" s="12">
        <f t="shared" si="3"/>
        <v>55.432196669310073</v>
      </c>
      <c r="O13" s="14">
        <f t="shared" si="4"/>
        <v>0</v>
      </c>
      <c r="P13" s="15">
        <f t="shared" si="5"/>
        <v>-2.26011102299762</v>
      </c>
      <c r="Q13" s="241">
        <f t="shared" si="6"/>
        <v>0.96082474226804127</v>
      </c>
      <c r="R13" s="615">
        <f>Q20</f>
        <v>0.95581917892506796</v>
      </c>
      <c r="S13" s="34">
        <v>8.3333333333333329E-2</v>
      </c>
      <c r="T13" s="34">
        <v>0.15069444444444444</v>
      </c>
      <c r="U13" s="236"/>
      <c r="V13" s="246">
        <f t="shared" ref="V13:V19" si="17">(T13-S13)*24*60</f>
        <v>97</v>
      </c>
      <c r="W13" s="16">
        <f>T13</f>
        <v>0.15069444444444444</v>
      </c>
      <c r="X13" s="16">
        <f>S14</f>
        <v>0.17083333333333334</v>
      </c>
      <c r="Y13" s="21"/>
      <c r="Z13" s="21"/>
      <c r="AA13" s="617"/>
      <c r="AB13" s="617"/>
      <c r="AC13" s="35">
        <v>7</v>
      </c>
      <c r="AD13" s="18"/>
      <c r="AE13" s="14">
        <f t="shared" si="8"/>
        <v>-58.762886597938177</v>
      </c>
      <c r="AF13" s="241">
        <f t="shared" si="9"/>
        <v>0.96082474226804127</v>
      </c>
      <c r="AG13" s="615">
        <f>AF20</f>
        <v>0.95581917892506796</v>
      </c>
    </row>
    <row r="14" spans="1:33" ht="16.5" customHeight="1">
      <c r="A14" s="647" t="s">
        <v>1040</v>
      </c>
      <c r="B14" s="247" t="s">
        <v>22</v>
      </c>
      <c r="C14" s="640" t="s">
        <v>87</v>
      </c>
      <c r="D14" s="640"/>
      <c r="E14" s="29">
        <v>38.619999999999997</v>
      </c>
      <c r="F14" s="247">
        <v>2748</v>
      </c>
      <c r="G14" s="236">
        <f t="shared" si="15"/>
        <v>106127.76</v>
      </c>
      <c r="H14" s="33" t="s">
        <v>57</v>
      </c>
      <c r="I14" s="245">
        <v>24</v>
      </c>
      <c r="J14" s="31">
        <v>1500</v>
      </c>
      <c r="K14" s="12">
        <f t="shared" si="1"/>
        <v>62.5</v>
      </c>
      <c r="L14" s="245">
        <v>24</v>
      </c>
      <c r="M14" s="13">
        <f t="shared" si="16"/>
        <v>1433.7391304347827</v>
      </c>
      <c r="N14" s="12">
        <f t="shared" si="3"/>
        <v>59.739130434782616</v>
      </c>
      <c r="O14" s="14">
        <f t="shared" si="4"/>
        <v>0</v>
      </c>
      <c r="P14" s="15">
        <f t="shared" si="5"/>
        <v>-2.7608695652173836</v>
      </c>
      <c r="Q14" s="241">
        <f t="shared" si="6"/>
        <v>0.95582608695652183</v>
      </c>
      <c r="R14" s="615"/>
      <c r="S14" s="34">
        <v>0.17083333333333334</v>
      </c>
      <c r="T14" s="34">
        <v>0.25069444444444444</v>
      </c>
      <c r="U14" s="236">
        <f t="shared" ref="U14:U19" si="18">IF(S14=TIME(17,0,0),"",(S14-T13)*24*60)</f>
        <v>29.000000000000018</v>
      </c>
      <c r="V14" s="246">
        <f t="shared" si="17"/>
        <v>114.99999999999999</v>
      </c>
      <c r="W14" s="16"/>
      <c r="X14" s="16"/>
      <c r="Y14" s="16"/>
      <c r="Z14" s="16"/>
      <c r="AA14" s="617"/>
      <c r="AB14" s="617"/>
      <c r="AC14" s="35"/>
      <c r="AD14" s="18"/>
      <c r="AE14" s="14">
        <f t="shared" si="8"/>
        <v>-66.260869565217263</v>
      </c>
      <c r="AF14" s="241">
        <f t="shared" si="9"/>
        <v>0.95582608695652183</v>
      </c>
      <c r="AG14" s="615"/>
    </row>
    <row r="15" spans="1:33" ht="16.5" customHeight="1">
      <c r="A15" s="647" t="s">
        <v>1040</v>
      </c>
      <c r="B15" s="247" t="s">
        <v>15</v>
      </c>
      <c r="C15" s="640" t="s">
        <v>86</v>
      </c>
      <c r="D15" s="640"/>
      <c r="E15" s="29">
        <v>37.03</v>
      </c>
      <c r="F15" s="247">
        <v>3700</v>
      </c>
      <c r="G15" s="236">
        <f t="shared" si="15"/>
        <v>137011</v>
      </c>
      <c r="H15" s="33" t="s">
        <v>57</v>
      </c>
      <c r="I15" s="245">
        <v>13</v>
      </c>
      <c r="J15" s="31">
        <v>1500</v>
      </c>
      <c r="K15" s="12">
        <f t="shared" si="1"/>
        <v>115.38461538461539</v>
      </c>
      <c r="L15" s="245">
        <v>13</v>
      </c>
      <c r="M15" s="13">
        <f t="shared" si="16"/>
        <v>1432.258064516129</v>
      </c>
      <c r="N15" s="12">
        <f t="shared" si="3"/>
        <v>110.17369727047146</v>
      </c>
      <c r="O15" s="14">
        <f t="shared" si="4"/>
        <v>0</v>
      </c>
      <c r="P15" s="15">
        <f t="shared" si="5"/>
        <v>-5.2109181141439223</v>
      </c>
      <c r="Q15" s="241">
        <f t="shared" si="6"/>
        <v>0.95483870967741935</v>
      </c>
      <c r="R15" s="615"/>
      <c r="S15" s="34">
        <v>0.25486111111111109</v>
      </c>
      <c r="T15" s="34">
        <v>0.36249999999999999</v>
      </c>
      <c r="U15" s="236">
        <f t="shared" si="18"/>
        <v>5.9999999999999787</v>
      </c>
      <c r="V15" s="246">
        <f t="shared" si="17"/>
        <v>155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-67.741935483870975</v>
      </c>
      <c r="AF15" s="241">
        <f t="shared" si="9"/>
        <v>0.95483870967741935</v>
      </c>
      <c r="AG15" s="615"/>
    </row>
    <row r="16" spans="1:33" ht="16.5" customHeight="1">
      <c r="A16" s="647" t="s">
        <v>1040</v>
      </c>
      <c r="B16" s="247" t="s">
        <v>19</v>
      </c>
      <c r="C16" s="640" t="s">
        <v>83</v>
      </c>
      <c r="D16" s="640"/>
      <c r="E16" s="29">
        <v>39.46</v>
      </c>
      <c r="F16" s="247">
        <v>4721</v>
      </c>
      <c r="G16" s="236">
        <f t="shared" si="15"/>
        <v>186290.66</v>
      </c>
      <c r="H16" s="33" t="s">
        <v>57</v>
      </c>
      <c r="I16" s="245">
        <v>16</v>
      </c>
      <c r="J16" s="31">
        <v>1500</v>
      </c>
      <c r="K16" s="12">
        <f t="shared" si="1"/>
        <v>93.75</v>
      </c>
      <c r="L16" s="245">
        <v>16</v>
      </c>
      <c r="M16" s="13">
        <f t="shared" si="16"/>
        <v>1430.6060606060603</v>
      </c>
      <c r="N16" s="12">
        <f t="shared" si="3"/>
        <v>89.412878787878768</v>
      </c>
      <c r="O16" s="14">
        <f t="shared" si="4"/>
        <v>0</v>
      </c>
      <c r="P16" s="15">
        <f t="shared" si="5"/>
        <v>-4.3371212121212324</v>
      </c>
      <c r="Q16" s="241">
        <f t="shared" si="6"/>
        <v>0.95373737373737355</v>
      </c>
      <c r="R16" s="615"/>
      <c r="S16" s="34">
        <v>0.36666666666666664</v>
      </c>
      <c r="T16" s="34">
        <v>0.50416666666666665</v>
      </c>
      <c r="U16" s="236">
        <f t="shared" si="18"/>
        <v>5.9999999999999787</v>
      </c>
      <c r="V16" s="246">
        <f t="shared" si="17"/>
        <v>198.00000000000003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-69.393939393939718</v>
      </c>
      <c r="AF16" s="241">
        <f t="shared" si="9"/>
        <v>0.95373737373737355</v>
      </c>
      <c r="AG16" s="615"/>
    </row>
    <row r="17" spans="1:33" ht="16.5" customHeight="1">
      <c r="A17" s="647" t="s">
        <v>1040</v>
      </c>
      <c r="B17" s="247" t="s">
        <v>15</v>
      </c>
      <c r="C17" s="640" t="s">
        <v>25</v>
      </c>
      <c r="D17" s="640"/>
      <c r="E17" s="29">
        <v>53.68</v>
      </c>
      <c r="F17" s="247">
        <v>1262</v>
      </c>
      <c r="G17" s="236">
        <f t="shared" si="15"/>
        <v>67744.160000000003</v>
      </c>
      <c r="H17" s="33" t="s">
        <v>57</v>
      </c>
      <c r="I17" s="245">
        <v>16</v>
      </c>
      <c r="J17" s="31">
        <v>1500</v>
      </c>
      <c r="K17" s="12">
        <f t="shared" si="1"/>
        <v>93.75</v>
      </c>
      <c r="L17" s="245">
        <v>16</v>
      </c>
      <c r="M17" s="13">
        <f t="shared" si="16"/>
        <v>1428.6792452830198</v>
      </c>
      <c r="N17" s="12">
        <f t="shared" si="3"/>
        <v>89.292452830188736</v>
      </c>
      <c r="O17" s="14">
        <f t="shared" si="4"/>
        <v>0</v>
      </c>
      <c r="P17" s="15">
        <f t="shared" si="5"/>
        <v>-4.4575471698112636</v>
      </c>
      <c r="Q17" s="241">
        <f t="shared" si="6"/>
        <v>0.95245283018867988</v>
      </c>
      <c r="R17" s="615"/>
      <c r="S17" s="34">
        <v>0.70833333333333337</v>
      </c>
      <c r="T17" s="34">
        <v>0.74513888888888891</v>
      </c>
      <c r="U17" s="236" t="str">
        <f t="shared" si="18"/>
        <v/>
      </c>
      <c r="V17" s="246">
        <f t="shared" si="17"/>
        <v>52.999999999999972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-71.320754716980218</v>
      </c>
      <c r="AF17" s="241">
        <f t="shared" si="9"/>
        <v>0.95245283018867988</v>
      </c>
      <c r="AG17" s="615"/>
    </row>
    <row r="18" spans="1:33" ht="16.5" customHeight="1">
      <c r="A18" s="647" t="s">
        <v>1040</v>
      </c>
      <c r="B18" s="247" t="s">
        <v>15</v>
      </c>
      <c r="C18" s="243" t="s">
        <v>18</v>
      </c>
      <c r="D18" s="244"/>
      <c r="E18" s="29">
        <v>52.86</v>
      </c>
      <c r="F18" s="247">
        <v>1537</v>
      </c>
      <c r="G18" s="236">
        <f t="shared" si="15"/>
        <v>81245.819999999992</v>
      </c>
      <c r="H18" s="33" t="s">
        <v>57</v>
      </c>
      <c r="I18" s="245">
        <v>16</v>
      </c>
      <c r="J18" s="31">
        <v>2000</v>
      </c>
      <c r="K18" s="12">
        <f t="shared" si="1"/>
        <v>125</v>
      </c>
      <c r="L18" s="245">
        <v>16</v>
      </c>
      <c r="M18" s="13">
        <f t="shared" si="16"/>
        <v>1921.2500000000005</v>
      </c>
      <c r="N18" s="12">
        <f t="shared" si="3"/>
        <v>120.07812500000003</v>
      </c>
      <c r="O18" s="14">
        <f t="shared" si="4"/>
        <v>0</v>
      </c>
      <c r="P18" s="15">
        <f t="shared" si="5"/>
        <v>-4.9218749999999716</v>
      </c>
      <c r="Q18" s="241">
        <f t="shared" si="6"/>
        <v>0.96062500000000017</v>
      </c>
      <c r="R18" s="615"/>
      <c r="S18" s="34">
        <v>0.75</v>
      </c>
      <c r="T18" s="34">
        <v>0.78333333333333333</v>
      </c>
      <c r="U18" s="236">
        <f t="shared" si="18"/>
        <v>6.9999999999999751</v>
      </c>
      <c r="V18" s="246">
        <f t="shared" si="17"/>
        <v>47.999999999999986</v>
      </c>
      <c r="W18" s="16"/>
      <c r="X18" s="16"/>
      <c r="Y18" s="19"/>
      <c r="Z18" s="19"/>
      <c r="AA18" s="239"/>
      <c r="AB18" s="240"/>
      <c r="AC18" s="35"/>
      <c r="AD18" s="18"/>
      <c r="AE18" s="14">
        <f t="shared" si="8"/>
        <v>-78.749999999999545</v>
      </c>
      <c r="AF18" s="241">
        <f t="shared" si="9"/>
        <v>0.96062500000000017</v>
      </c>
      <c r="AG18" s="615"/>
    </row>
    <row r="19" spans="1:33" ht="16.5" customHeight="1">
      <c r="A19" s="647" t="s">
        <v>1040</v>
      </c>
      <c r="B19" s="247" t="s">
        <v>15</v>
      </c>
      <c r="C19" s="243" t="s">
        <v>16</v>
      </c>
      <c r="D19" s="244"/>
      <c r="E19" s="29">
        <v>50.67</v>
      </c>
      <c r="F19" s="247">
        <v>1682</v>
      </c>
      <c r="G19" s="236">
        <f t="shared" si="15"/>
        <v>85226.94</v>
      </c>
      <c r="H19" s="33" t="s">
        <v>57</v>
      </c>
      <c r="I19" s="245">
        <v>17</v>
      </c>
      <c r="J19" s="31">
        <v>2000</v>
      </c>
      <c r="K19" s="12">
        <f t="shared" si="1"/>
        <v>117.64705882352941</v>
      </c>
      <c r="L19" s="245">
        <v>17</v>
      </c>
      <c r="M19" s="13">
        <f t="shared" si="16"/>
        <v>1904.1509433962274</v>
      </c>
      <c r="N19" s="12">
        <f t="shared" si="3"/>
        <v>112.00887902330749</v>
      </c>
      <c r="O19" s="14">
        <f t="shared" si="4"/>
        <v>0</v>
      </c>
      <c r="P19" s="15">
        <f t="shared" si="5"/>
        <v>-5.6381798002219199</v>
      </c>
      <c r="Q19" s="241">
        <f t="shared" si="6"/>
        <v>0.95207547169811368</v>
      </c>
      <c r="R19" s="615"/>
      <c r="S19" s="34">
        <v>0.78749999999999998</v>
      </c>
      <c r="T19" s="34">
        <v>0.82430555555555551</v>
      </c>
      <c r="U19" s="236">
        <f t="shared" si="18"/>
        <v>5.9999999999999787</v>
      </c>
      <c r="V19" s="246">
        <f t="shared" si="17"/>
        <v>52.999999999999972</v>
      </c>
      <c r="W19" s="16"/>
      <c r="X19" s="16"/>
      <c r="Y19" s="19"/>
      <c r="Z19" s="19"/>
      <c r="AA19" s="239"/>
      <c r="AB19" s="240"/>
      <c r="AC19" s="35"/>
      <c r="AD19" s="18"/>
      <c r="AE19" s="14">
        <f t="shared" si="8"/>
        <v>-95.849056603772624</v>
      </c>
      <c r="AF19" s="241">
        <f t="shared" si="9"/>
        <v>0.95207547169811368</v>
      </c>
      <c r="AG19" s="615"/>
    </row>
    <row r="20" spans="1:33" ht="16.5" customHeight="1">
      <c r="A20" s="647" t="s">
        <v>1040</v>
      </c>
      <c r="B20" s="29" t="s">
        <v>1039</v>
      </c>
      <c r="C20" s="618"/>
      <c r="D20" s="618"/>
      <c r="E20" s="242"/>
      <c r="F20" s="30"/>
      <c r="G20" s="12"/>
      <c r="H20" s="247"/>
      <c r="I20" s="23">
        <v>18.285714285714285</v>
      </c>
      <c r="J20" s="31">
        <v>1642.8571428571429</v>
      </c>
      <c r="K20" s="12">
        <f t="shared" si="1"/>
        <v>89.84375</v>
      </c>
      <c r="L20" s="23">
        <v>18.285714285714285</v>
      </c>
      <c r="M20" s="13">
        <f>AVERAGE(M13:M19)</f>
        <v>1570.2743653768973</v>
      </c>
      <c r="N20" s="12">
        <f t="shared" si="3"/>
        <v>85.874379356549071</v>
      </c>
      <c r="O20" s="14">
        <f t="shared" si="4"/>
        <v>0</v>
      </c>
      <c r="P20" s="15">
        <f t="shared" si="5"/>
        <v>-3.9693706434509295</v>
      </c>
      <c r="Q20" s="241">
        <f t="shared" si="6"/>
        <v>0.95581917892506796</v>
      </c>
      <c r="R20" s="615"/>
      <c r="S20" s="34"/>
      <c r="T20" s="34"/>
      <c r="U20" s="236"/>
      <c r="V20" s="246"/>
      <c r="W20" s="12"/>
      <c r="X20" s="12"/>
      <c r="Y20" s="24">
        <f>SUM(Y13:Y19)</f>
        <v>0</v>
      </c>
      <c r="Z20" s="24">
        <f>SUM(Z13:Z19)</f>
        <v>0</v>
      </c>
      <c r="AA20" s="614"/>
      <c r="AB20" s="614"/>
      <c r="AC20" s="24">
        <v>7</v>
      </c>
      <c r="AD20" s="24">
        <f>SUM(AD13:AD19)</f>
        <v>0</v>
      </c>
      <c r="AE20" s="14">
        <f t="shared" si="8"/>
        <v>-72.582777480245568</v>
      </c>
      <c r="AF20" s="241">
        <f t="shared" si="9"/>
        <v>0.95581917892506796</v>
      </c>
      <c r="AG20" s="615"/>
    </row>
    <row r="21" spans="1:33" ht="15.75" customHeight="1">
      <c r="A21" s="642" t="s">
        <v>1041</v>
      </c>
      <c r="B21" s="29" t="s">
        <v>15</v>
      </c>
      <c r="C21" s="640" t="s">
        <v>24</v>
      </c>
      <c r="D21" s="640"/>
      <c r="E21" s="29">
        <v>54.09</v>
      </c>
      <c r="F21" s="247">
        <v>1520</v>
      </c>
      <c r="G21" s="236">
        <f t="shared" ref="G21:G28" si="19">E21*F21</f>
        <v>82216.800000000003</v>
      </c>
      <c r="H21" s="33" t="s">
        <v>57</v>
      </c>
      <c r="I21" s="245">
        <v>17</v>
      </c>
      <c r="J21" s="31">
        <v>1500</v>
      </c>
      <c r="K21" s="12">
        <f t="shared" si="1"/>
        <v>88.235294117647058</v>
      </c>
      <c r="L21" s="245">
        <v>17</v>
      </c>
      <c r="M21" s="13">
        <f t="shared" ref="M21:M28" si="20">F21/V21*60</f>
        <v>1447.6190476190479</v>
      </c>
      <c r="N21" s="12">
        <f t="shared" si="3"/>
        <v>85.154061624649884</v>
      </c>
      <c r="O21" s="14">
        <f t="shared" si="4"/>
        <v>0</v>
      </c>
      <c r="P21" s="15">
        <f t="shared" si="5"/>
        <v>-3.0812324929971737</v>
      </c>
      <c r="Q21" s="241">
        <f t="shared" si="6"/>
        <v>0.96507936507936531</v>
      </c>
      <c r="R21" s="615">
        <f>Q29</f>
        <v>0.96199191403082651</v>
      </c>
      <c r="S21" s="34">
        <v>0.20833333333333334</v>
      </c>
      <c r="T21" s="34">
        <v>0.25208333333333333</v>
      </c>
      <c r="U21" s="236"/>
      <c r="V21" s="246">
        <f t="shared" ref="V21:V28" si="21">(T21-S21)*24*60</f>
        <v>62.999999999999979</v>
      </c>
      <c r="W21" s="21"/>
      <c r="X21" s="21"/>
      <c r="Y21" s="21"/>
      <c r="Z21" s="21"/>
      <c r="AA21" s="617"/>
      <c r="AB21" s="617"/>
      <c r="AC21" s="35">
        <v>8</v>
      </c>
      <c r="AD21" s="18"/>
      <c r="AE21" s="14">
        <f t="shared" si="8"/>
        <v>-52.380952380952067</v>
      </c>
      <c r="AF21" s="241">
        <f t="shared" si="9"/>
        <v>0.96507936507936531</v>
      </c>
      <c r="AG21" s="615">
        <f>AF29</f>
        <v>0.96199191403082662</v>
      </c>
    </row>
    <row r="22" spans="1:33" ht="15.75" customHeight="1">
      <c r="A22" s="643" t="s">
        <v>1041</v>
      </c>
      <c r="B22" s="29" t="s">
        <v>15</v>
      </c>
      <c r="C22" s="640" t="s">
        <v>28</v>
      </c>
      <c r="D22" s="640"/>
      <c r="E22" s="29">
        <v>50.67</v>
      </c>
      <c r="F22" s="247">
        <v>2109</v>
      </c>
      <c r="G22" s="236">
        <f t="shared" si="19"/>
        <v>106863.03</v>
      </c>
      <c r="H22" s="33" t="s">
        <v>57</v>
      </c>
      <c r="I22" s="245">
        <v>17</v>
      </c>
      <c r="J22" s="31">
        <v>2000</v>
      </c>
      <c r="K22" s="12">
        <f t="shared" si="1"/>
        <v>117.64705882352941</v>
      </c>
      <c r="L22" s="245">
        <v>17</v>
      </c>
      <c r="M22" s="13">
        <f t="shared" si="20"/>
        <v>1917.2727272727273</v>
      </c>
      <c r="N22" s="12">
        <f t="shared" si="3"/>
        <v>112.7807486631016</v>
      </c>
      <c r="O22" s="14">
        <f t="shared" si="4"/>
        <v>0</v>
      </c>
      <c r="P22" s="15">
        <f t="shared" si="5"/>
        <v>-4.8663101604278012</v>
      </c>
      <c r="Q22" s="241">
        <f t="shared" si="6"/>
        <v>0.95863636363636373</v>
      </c>
      <c r="R22" s="615"/>
      <c r="S22" s="34">
        <v>0.25694444444444442</v>
      </c>
      <c r="T22" s="34">
        <v>0.30277777777777776</v>
      </c>
      <c r="U22" s="236">
        <f t="shared" ref="U22:U28" si="22">IF(S22=TIME(17,0,0),"",(S22-T21)*24*60)</f>
        <v>6.9999999999999751</v>
      </c>
      <c r="V22" s="246">
        <f t="shared" si="21"/>
        <v>66</v>
      </c>
      <c r="W22" s="16"/>
      <c r="X22" s="236"/>
      <c r="Y22" s="236"/>
      <c r="Z22" s="236"/>
      <c r="AA22" s="617"/>
      <c r="AB22" s="617"/>
      <c r="AC22" s="35"/>
      <c r="AD22" s="18"/>
      <c r="AE22" s="14">
        <f t="shared" si="8"/>
        <v>-82.727272727272748</v>
      </c>
      <c r="AF22" s="241">
        <f t="shared" si="9"/>
        <v>0.95863636363636362</v>
      </c>
      <c r="AG22" s="615"/>
    </row>
    <row r="23" spans="1:33" ht="15.75" customHeight="1">
      <c r="A23" s="643" t="s">
        <v>1041</v>
      </c>
      <c r="B23" s="29" t="s">
        <v>15</v>
      </c>
      <c r="C23" s="640" t="s">
        <v>29</v>
      </c>
      <c r="D23" s="640"/>
      <c r="E23" s="29">
        <v>57.73</v>
      </c>
      <c r="F23" s="247">
        <v>2367</v>
      </c>
      <c r="G23" s="236">
        <f t="shared" si="19"/>
        <v>136646.91</v>
      </c>
      <c r="H23" s="33" t="s">
        <v>57</v>
      </c>
      <c r="I23" s="245">
        <v>14</v>
      </c>
      <c r="J23" s="31">
        <v>2000</v>
      </c>
      <c r="K23" s="12">
        <f t="shared" si="1"/>
        <v>142.85714285714286</v>
      </c>
      <c r="L23" s="245">
        <v>14</v>
      </c>
      <c r="M23" s="13">
        <f t="shared" si="20"/>
        <v>1919.1891891891898</v>
      </c>
      <c r="N23" s="12">
        <f t="shared" si="3"/>
        <v>137.08494208494213</v>
      </c>
      <c r="O23" s="14">
        <f t="shared" si="4"/>
        <v>0</v>
      </c>
      <c r="P23" s="15">
        <f t="shared" si="5"/>
        <v>-5.7722007722007334</v>
      </c>
      <c r="Q23" s="241">
        <f t="shared" si="6"/>
        <v>0.95959459459459484</v>
      </c>
      <c r="R23" s="615"/>
      <c r="S23" s="34">
        <v>0.30624999999999997</v>
      </c>
      <c r="T23" s="34">
        <v>0.35763888888888884</v>
      </c>
      <c r="U23" s="236">
        <f t="shared" si="22"/>
        <v>4.9999999999999822</v>
      </c>
      <c r="V23" s="246">
        <f t="shared" si="21"/>
        <v>73.999999999999972</v>
      </c>
      <c r="W23" s="16"/>
      <c r="X23" s="236"/>
      <c r="Y23" s="236"/>
      <c r="Z23" s="236"/>
      <c r="AA23" s="617"/>
      <c r="AB23" s="617"/>
      <c r="AC23" s="35"/>
      <c r="AD23" s="18"/>
      <c r="AE23" s="14">
        <f t="shared" si="8"/>
        <v>-80.810810810810153</v>
      </c>
      <c r="AF23" s="241">
        <f t="shared" si="9"/>
        <v>0.95959459459459495</v>
      </c>
      <c r="AG23" s="615"/>
    </row>
    <row r="24" spans="1:33" ht="15.75" customHeight="1">
      <c r="A24" s="643" t="s">
        <v>1041</v>
      </c>
      <c r="B24" s="29" t="s">
        <v>15</v>
      </c>
      <c r="C24" s="640" t="s">
        <v>80</v>
      </c>
      <c r="D24" s="640"/>
      <c r="E24" s="29">
        <v>53.27</v>
      </c>
      <c r="F24" s="247">
        <v>1952</v>
      </c>
      <c r="G24" s="236">
        <f t="shared" si="19"/>
        <v>103983.04000000001</v>
      </c>
      <c r="H24" s="33" t="s">
        <v>57</v>
      </c>
      <c r="I24" s="245">
        <v>16</v>
      </c>
      <c r="J24" s="31">
        <v>2000</v>
      </c>
      <c r="K24" s="12">
        <f t="shared" si="1"/>
        <v>125</v>
      </c>
      <c r="L24" s="245">
        <v>16</v>
      </c>
      <c r="M24" s="13">
        <f t="shared" si="20"/>
        <v>1919.9999999999993</v>
      </c>
      <c r="N24" s="12">
        <f t="shared" si="3"/>
        <v>119.99999999999996</v>
      </c>
      <c r="O24" s="14">
        <f t="shared" si="4"/>
        <v>0</v>
      </c>
      <c r="P24" s="15">
        <f t="shared" si="5"/>
        <v>-5.0000000000000426</v>
      </c>
      <c r="Q24" s="241">
        <f t="shared" si="6"/>
        <v>0.95999999999999963</v>
      </c>
      <c r="R24" s="615"/>
      <c r="S24" s="34">
        <v>0.36249999999999993</v>
      </c>
      <c r="T24" s="34">
        <v>0.40486111111111106</v>
      </c>
      <c r="U24" s="236">
        <f t="shared" si="22"/>
        <v>6.9999999999999751</v>
      </c>
      <c r="V24" s="246">
        <f t="shared" si="21"/>
        <v>61.000000000000021</v>
      </c>
      <c r="W24" s="16"/>
      <c r="X24" s="236"/>
      <c r="Y24" s="236"/>
      <c r="Z24" s="236"/>
      <c r="AA24" s="617"/>
      <c r="AB24" s="617"/>
      <c r="AC24" s="35"/>
      <c r="AD24" s="18"/>
      <c r="AE24" s="14">
        <f t="shared" si="8"/>
        <v>-80.000000000000682</v>
      </c>
      <c r="AF24" s="241">
        <f t="shared" si="9"/>
        <v>0.95999999999999963</v>
      </c>
      <c r="AG24" s="615"/>
    </row>
    <row r="25" spans="1:33" ht="15.75" customHeight="1">
      <c r="A25" s="643" t="s">
        <v>1041</v>
      </c>
      <c r="B25" s="29" t="s">
        <v>15</v>
      </c>
      <c r="C25" s="640" t="s">
        <v>30</v>
      </c>
      <c r="D25" s="640"/>
      <c r="E25" s="29">
        <v>50.49</v>
      </c>
      <c r="F25" s="247">
        <v>2168</v>
      </c>
      <c r="G25" s="236">
        <f t="shared" si="19"/>
        <v>109462.32</v>
      </c>
      <c r="H25" s="33" t="s">
        <v>57</v>
      </c>
      <c r="I25" s="245">
        <v>15</v>
      </c>
      <c r="J25" s="31">
        <v>2000</v>
      </c>
      <c r="K25" s="12">
        <f t="shared" si="1"/>
        <v>133.33333333333334</v>
      </c>
      <c r="L25" s="245">
        <v>15</v>
      </c>
      <c r="M25" s="13">
        <f t="shared" si="20"/>
        <v>1912.9411764705906</v>
      </c>
      <c r="N25" s="12">
        <f t="shared" si="3"/>
        <v>127.52941176470604</v>
      </c>
      <c r="O25" s="14">
        <f t="shared" si="4"/>
        <v>0</v>
      </c>
      <c r="P25" s="15">
        <f t="shared" si="5"/>
        <v>-5.8039215686273025</v>
      </c>
      <c r="Q25" s="241">
        <f t="shared" si="6"/>
        <v>0.95647058823529518</v>
      </c>
      <c r="R25" s="615"/>
      <c r="S25" s="34">
        <v>0.70833333333333337</v>
      </c>
      <c r="T25" s="34">
        <v>0.75555555555555554</v>
      </c>
      <c r="U25" s="236" t="str">
        <f t="shared" si="22"/>
        <v/>
      </c>
      <c r="V25" s="246">
        <f t="shared" si="21"/>
        <v>67.999999999999915</v>
      </c>
      <c r="W25" s="16"/>
      <c r="X25" s="16"/>
      <c r="Y25" s="236"/>
      <c r="Z25" s="236"/>
      <c r="AA25" s="617"/>
      <c r="AB25" s="617"/>
      <c r="AC25" s="35"/>
      <c r="AD25" s="18"/>
      <c r="AE25" s="14">
        <f t="shared" si="8"/>
        <v>-87.058823529409437</v>
      </c>
      <c r="AF25" s="241">
        <f t="shared" si="9"/>
        <v>0.95647058823529529</v>
      </c>
      <c r="AG25" s="615"/>
    </row>
    <row r="26" spans="1:33" ht="15.75" customHeight="1">
      <c r="A26" s="643" t="s">
        <v>1041</v>
      </c>
      <c r="B26" s="29" t="s">
        <v>15</v>
      </c>
      <c r="C26" s="640" t="s">
        <v>85</v>
      </c>
      <c r="D26" s="640"/>
      <c r="E26" s="29">
        <v>56.43</v>
      </c>
      <c r="F26" s="247">
        <v>2280</v>
      </c>
      <c r="G26" s="236">
        <f t="shared" si="19"/>
        <v>128660.4</v>
      </c>
      <c r="H26" s="33" t="s">
        <v>57</v>
      </c>
      <c r="I26" s="245">
        <v>13</v>
      </c>
      <c r="J26" s="31">
        <v>2000</v>
      </c>
      <c r="K26" s="12">
        <f t="shared" si="1"/>
        <v>153.84615384615384</v>
      </c>
      <c r="L26" s="245">
        <v>13</v>
      </c>
      <c r="M26" s="13">
        <f t="shared" si="20"/>
        <v>1926.7605633802798</v>
      </c>
      <c r="N26" s="12">
        <f t="shared" si="3"/>
        <v>148.21235102925229</v>
      </c>
      <c r="O26" s="14">
        <f t="shared" si="4"/>
        <v>0</v>
      </c>
      <c r="P26" s="15">
        <f t="shared" si="5"/>
        <v>-5.6338028169015502</v>
      </c>
      <c r="Q26" s="241">
        <f t="shared" si="6"/>
        <v>0.96338028169013989</v>
      </c>
      <c r="R26" s="615"/>
      <c r="S26" s="34">
        <v>0.76111111111111107</v>
      </c>
      <c r="T26" s="34">
        <v>0.81041666666666667</v>
      </c>
      <c r="U26" s="236">
        <f t="shared" si="22"/>
        <v>7.9999999999999716</v>
      </c>
      <c r="V26" s="246">
        <f t="shared" si="21"/>
        <v>71.000000000000071</v>
      </c>
      <c r="W26" s="16"/>
      <c r="X26" s="21"/>
      <c r="Y26" s="21"/>
      <c r="Z26" s="21"/>
      <c r="AA26" s="617"/>
      <c r="AB26" s="617"/>
      <c r="AC26" s="35"/>
      <c r="AD26" s="18"/>
      <c r="AE26" s="14">
        <f t="shared" si="8"/>
        <v>-73.239436619720209</v>
      </c>
      <c r="AF26" s="241">
        <f t="shared" si="9"/>
        <v>0.96338028169013989</v>
      </c>
      <c r="AG26" s="615"/>
    </row>
    <row r="27" spans="1:33" ht="15.75" customHeight="1">
      <c r="A27" s="643" t="s">
        <v>1041</v>
      </c>
      <c r="B27" s="29" t="s">
        <v>15</v>
      </c>
      <c r="C27" s="666" t="s">
        <v>82</v>
      </c>
      <c r="D27" s="667"/>
      <c r="E27" s="29">
        <v>51.06</v>
      </c>
      <c r="F27" s="247">
        <v>1100</v>
      </c>
      <c r="G27" s="236">
        <f t="shared" si="19"/>
        <v>56166</v>
      </c>
      <c r="H27" s="33">
        <v>2</v>
      </c>
      <c r="I27" s="245">
        <v>13</v>
      </c>
      <c r="J27" s="31">
        <v>2000</v>
      </c>
      <c r="K27" s="12">
        <f t="shared" si="1"/>
        <v>153.84615384615384</v>
      </c>
      <c r="L27" s="245">
        <v>13</v>
      </c>
      <c r="M27" s="13">
        <f t="shared" si="20"/>
        <v>1941.1764705882326</v>
      </c>
      <c r="N27" s="12">
        <f t="shared" si="3"/>
        <v>149.32126696832557</v>
      </c>
      <c r="O27" s="14">
        <f t="shared" si="4"/>
        <v>0</v>
      </c>
      <c r="P27" s="15">
        <f t="shared" si="5"/>
        <v>-4.5248868778282656</v>
      </c>
      <c r="Q27" s="241">
        <f t="shared" si="6"/>
        <v>0.97058823529411631</v>
      </c>
      <c r="R27" s="615"/>
      <c r="S27" s="34">
        <v>0.81597222222222221</v>
      </c>
      <c r="T27" s="34">
        <v>0.83958333333333335</v>
      </c>
      <c r="U27" s="236">
        <f t="shared" si="22"/>
        <v>7.9999999999999716</v>
      </c>
      <c r="V27" s="246">
        <f t="shared" si="21"/>
        <v>34.000000000000043</v>
      </c>
      <c r="W27" s="16">
        <f>T27</f>
        <v>0.83958333333333335</v>
      </c>
      <c r="X27" s="16">
        <f>S28</f>
        <v>0.87986111111111109</v>
      </c>
      <c r="Y27" s="22"/>
      <c r="Z27" s="22"/>
      <c r="AA27" s="624"/>
      <c r="AB27" s="625"/>
      <c r="AC27" s="35"/>
      <c r="AD27" s="18"/>
      <c r="AE27" s="14">
        <f t="shared" si="8"/>
        <v>-58.823529411767367</v>
      </c>
      <c r="AF27" s="241">
        <f t="shared" si="9"/>
        <v>0.97058823529411631</v>
      </c>
      <c r="AG27" s="615"/>
    </row>
    <row r="28" spans="1:33" ht="15.75" customHeight="1">
      <c r="A28" s="643" t="s">
        <v>1041</v>
      </c>
      <c r="B28" s="29" t="s">
        <v>15</v>
      </c>
      <c r="C28" s="243" t="s">
        <v>82</v>
      </c>
      <c r="D28" s="244"/>
      <c r="E28" s="29">
        <v>51.06</v>
      </c>
      <c r="F28" s="247">
        <v>2279</v>
      </c>
      <c r="G28" s="236">
        <f t="shared" si="19"/>
        <v>116365.74</v>
      </c>
      <c r="H28" s="33" t="s">
        <v>57</v>
      </c>
      <c r="I28" s="245">
        <v>13</v>
      </c>
      <c r="J28" s="31">
        <v>2000</v>
      </c>
      <c r="K28" s="12">
        <f t="shared" si="1"/>
        <v>153.84615384615384</v>
      </c>
      <c r="L28" s="245">
        <v>13</v>
      </c>
      <c r="M28" s="13">
        <f t="shared" si="20"/>
        <v>1925.9154929577444</v>
      </c>
      <c r="N28" s="12">
        <f t="shared" si="3"/>
        <v>148.14734561213419</v>
      </c>
      <c r="O28" s="14">
        <f t="shared" si="4"/>
        <v>0</v>
      </c>
      <c r="P28" s="15">
        <f t="shared" si="5"/>
        <v>-5.6988082340196513</v>
      </c>
      <c r="Q28" s="241">
        <f t="shared" si="6"/>
        <v>0.96295774647887222</v>
      </c>
      <c r="R28" s="615"/>
      <c r="S28" s="34">
        <v>0.87986111111111109</v>
      </c>
      <c r="T28" s="34">
        <v>0.9291666666666667</v>
      </c>
      <c r="U28" s="236">
        <f t="shared" si="22"/>
        <v>57.999999999999957</v>
      </c>
      <c r="V28" s="246">
        <f t="shared" si="21"/>
        <v>71.000000000000071</v>
      </c>
      <c r="W28" s="16"/>
      <c r="X28" s="16"/>
      <c r="Y28" s="19"/>
      <c r="Z28" s="19"/>
      <c r="AA28" s="239"/>
      <c r="AB28" s="240"/>
      <c r="AC28" s="35"/>
      <c r="AD28" s="18"/>
      <c r="AE28" s="14">
        <f t="shared" si="8"/>
        <v>-74.084507042255609</v>
      </c>
      <c r="AF28" s="241">
        <f t="shared" si="9"/>
        <v>0.96295774647887222</v>
      </c>
      <c r="AG28" s="615"/>
    </row>
    <row r="29" spans="1:33" ht="15.75" customHeight="1">
      <c r="A29" s="643" t="s">
        <v>1041</v>
      </c>
      <c r="B29" s="29" t="s">
        <v>1039</v>
      </c>
      <c r="C29" s="618"/>
      <c r="D29" s="618"/>
      <c r="E29" s="242"/>
      <c r="F29" s="247"/>
      <c r="G29" s="236"/>
      <c r="H29" s="247"/>
      <c r="I29" s="23">
        <v>14.75</v>
      </c>
      <c r="J29" s="31">
        <v>1937.5</v>
      </c>
      <c r="K29" s="12">
        <f t="shared" si="1"/>
        <v>131.35593220338984</v>
      </c>
      <c r="L29" s="23">
        <v>14.75</v>
      </c>
      <c r="M29" s="13">
        <f>AVERAGE(M21:M28)</f>
        <v>1863.8593334347265</v>
      </c>
      <c r="N29" s="12">
        <f t="shared" si="3"/>
        <v>126.36334463964248</v>
      </c>
      <c r="O29" s="14">
        <f t="shared" si="4"/>
        <v>0</v>
      </c>
      <c r="P29" s="15">
        <f t="shared" si="5"/>
        <v>-4.9925875637473638</v>
      </c>
      <c r="Q29" s="241">
        <f t="shared" si="6"/>
        <v>0.96199191403082651</v>
      </c>
      <c r="R29" s="615"/>
      <c r="S29" s="34"/>
      <c r="T29" s="34"/>
      <c r="U29" s="12"/>
      <c r="V29" s="246"/>
      <c r="W29" s="12"/>
      <c r="X29" s="12"/>
      <c r="Y29" s="24">
        <f>SUM(Y21:Y28)</f>
        <v>0</v>
      </c>
      <c r="Z29" s="24">
        <f>SUM(Z21:Z28)</f>
        <v>0</v>
      </c>
      <c r="AA29" s="614"/>
      <c r="AB29" s="614"/>
      <c r="AC29" s="24">
        <v>8</v>
      </c>
      <c r="AD29" s="24">
        <f>SUM(AD21:AD28)</f>
        <v>0</v>
      </c>
      <c r="AE29" s="14">
        <f t="shared" si="8"/>
        <v>-73.640666565273477</v>
      </c>
      <c r="AF29" s="241">
        <f t="shared" si="9"/>
        <v>0.96199191403082662</v>
      </c>
      <c r="AG29" s="615"/>
    </row>
    <row r="30" spans="1:33" ht="15.75" customHeight="1">
      <c r="A30" s="641" t="s">
        <v>1042</v>
      </c>
      <c r="B30" s="29" t="s">
        <v>32</v>
      </c>
      <c r="C30" s="640" t="s">
        <v>33</v>
      </c>
      <c r="D30" s="640"/>
      <c r="E30" s="29">
        <v>31.29</v>
      </c>
      <c r="F30" s="247">
        <v>5500</v>
      </c>
      <c r="G30" s="236">
        <f t="shared" ref="G30:G37" si="23">E30*F30</f>
        <v>172095</v>
      </c>
      <c r="H30" s="33">
        <v>2</v>
      </c>
      <c r="I30" s="245">
        <v>18</v>
      </c>
      <c r="J30" s="31">
        <v>2400</v>
      </c>
      <c r="K30" s="12">
        <f t="shared" si="1"/>
        <v>133.33333333333334</v>
      </c>
      <c r="L30" s="245">
        <v>18</v>
      </c>
      <c r="M30" s="13">
        <f t="shared" ref="M30:M37" si="24">F30/V30*60</f>
        <v>2291.6666666666665</v>
      </c>
      <c r="N30" s="12">
        <f t="shared" si="3"/>
        <v>127.31481481481481</v>
      </c>
      <c r="O30" s="14">
        <f t="shared" si="4"/>
        <v>0</v>
      </c>
      <c r="P30" s="15">
        <f t="shared" si="5"/>
        <v>-6.0185185185185333</v>
      </c>
      <c r="Q30" s="241">
        <f t="shared" si="6"/>
        <v>0.95486111111111105</v>
      </c>
      <c r="R30" s="615">
        <f>Q38</f>
        <v>0.95634912029246089</v>
      </c>
      <c r="S30" s="34">
        <v>8.3333333333333329E-2</v>
      </c>
      <c r="T30" s="34">
        <v>0.18333333333333332</v>
      </c>
      <c r="U30" s="236"/>
      <c r="V30" s="246">
        <f t="shared" ref="V30:V37" si="25">(T30-S30)*24*60</f>
        <v>144</v>
      </c>
      <c r="W30" s="16">
        <f>T30</f>
        <v>0.18333333333333332</v>
      </c>
      <c r="X30" s="16">
        <f>S31</f>
        <v>0.20277777777777775</v>
      </c>
      <c r="Y30" s="16"/>
      <c r="Z30" s="16"/>
      <c r="AA30" s="617"/>
      <c r="AB30" s="617"/>
      <c r="AC30" s="35">
        <v>8</v>
      </c>
      <c r="AD30" s="18"/>
      <c r="AE30" s="14">
        <f t="shared" si="8"/>
        <v>-108.33333333333348</v>
      </c>
      <c r="AF30" s="241">
        <f t="shared" si="9"/>
        <v>0.95486111111111105</v>
      </c>
      <c r="AG30" s="615">
        <f>AF38</f>
        <v>0.956349120292461</v>
      </c>
    </row>
    <row r="31" spans="1:33" ht="15.75" customHeight="1">
      <c r="A31" s="641" t="s">
        <v>1042</v>
      </c>
      <c r="B31" s="29" t="s">
        <v>32</v>
      </c>
      <c r="C31" s="640" t="s">
        <v>34</v>
      </c>
      <c r="D31" s="640"/>
      <c r="E31" s="29">
        <v>26.37</v>
      </c>
      <c r="F31" s="247">
        <v>3800</v>
      </c>
      <c r="G31" s="236">
        <f t="shared" si="23"/>
        <v>100206</v>
      </c>
      <c r="H31" s="33">
        <v>2</v>
      </c>
      <c r="I31" s="245">
        <v>18</v>
      </c>
      <c r="J31" s="31">
        <v>2400</v>
      </c>
      <c r="K31" s="12">
        <f t="shared" si="1"/>
        <v>133.33333333333334</v>
      </c>
      <c r="L31" s="245">
        <v>18</v>
      </c>
      <c r="M31" s="13">
        <f t="shared" si="24"/>
        <v>2303.030303030303</v>
      </c>
      <c r="N31" s="12">
        <f t="shared" si="3"/>
        <v>127.94612794612794</v>
      </c>
      <c r="O31" s="14">
        <f t="shared" si="4"/>
        <v>0</v>
      </c>
      <c r="P31" s="15">
        <f t="shared" si="5"/>
        <v>-5.3872053872053982</v>
      </c>
      <c r="Q31" s="241">
        <f t="shared" si="6"/>
        <v>0.95959595959595956</v>
      </c>
      <c r="R31" s="615"/>
      <c r="S31" s="34">
        <v>0.20277777777777775</v>
      </c>
      <c r="T31" s="34">
        <v>0.27152777777777776</v>
      </c>
      <c r="U31" s="236">
        <f t="shared" ref="U31:U37" si="26">(S31-T30)*24*60</f>
        <v>27.999999999999979</v>
      </c>
      <c r="V31" s="246">
        <f t="shared" si="25"/>
        <v>99.000000000000014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-96.969696969696997</v>
      </c>
      <c r="AF31" s="241">
        <f t="shared" si="9"/>
        <v>0.95959595959595956</v>
      </c>
      <c r="AG31" s="615"/>
    </row>
    <row r="32" spans="1:33" ht="15.75" customHeight="1">
      <c r="A32" s="641" t="s">
        <v>1042</v>
      </c>
      <c r="B32" s="29" t="s">
        <v>32</v>
      </c>
      <c r="C32" s="640" t="s">
        <v>76</v>
      </c>
      <c r="D32" s="640"/>
      <c r="E32" s="29">
        <v>26.18</v>
      </c>
      <c r="F32" s="247">
        <v>4600</v>
      </c>
      <c r="G32" s="236">
        <f t="shared" si="23"/>
        <v>120428</v>
      </c>
      <c r="H32" s="33">
        <v>2</v>
      </c>
      <c r="I32" s="245">
        <v>18</v>
      </c>
      <c r="J32" s="31">
        <v>2400</v>
      </c>
      <c r="K32" s="12">
        <f t="shared" si="1"/>
        <v>133.33333333333334</v>
      </c>
      <c r="L32" s="245">
        <v>18</v>
      </c>
      <c r="M32" s="13">
        <f t="shared" si="24"/>
        <v>2280.9917355371908</v>
      </c>
      <c r="N32" s="12">
        <f t="shared" si="3"/>
        <v>126.72176308539949</v>
      </c>
      <c r="O32" s="14">
        <f t="shared" si="4"/>
        <v>0</v>
      </c>
      <c r="P32" s="15">
        <f t="shared" si="5"/>
        <v>-6.6115702479338552</v>
      </c>
      <c r="Q32" s="241">
        <f t="shared" si="6"/>
        <v>0.95041322314049614</v>
      </c>
      <c r="R32" s="615"/>
      <c r="S32" s="34">
        <v>0.27638888888888885</v>
      </c>
      <c r="T32" s="34">
        <v>0.36041666666666661</v>
      </c>
      <c r="U32" s="236">
        <f t="shared" si="26"/>
        <v>6.9999999999999751</v>
      </c>
      <c r="V32" s="246">
        <f t="shared" si="25"/>
        <v>120.99999999999997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-119.00826446280917</v>
      </c>
      <c r="AF32" s="241">
        <f t="shared" si="9"/>
        <v>0.95041322314049614</v>
      </c>
      <c r="AG32" s="615"/>
    </row>
    <row r="33" spans="1:33" ht="15.75" customHeight="1">
      <c r="A33" s="641" t="s">
        <v>1042</v>
      </c>
      <c r="B33" s="29" t="s">
        <v>32</v>
      </c>
      <c r="C33" s="640" t="s">
        <v>35</v>
      </c>
      <c r="D33" s="640"/>
      <c r="E33" s="29">
        <v>25.99</v>
      </c>
      <c r="F33" s="247">
        <v>4102</v>
      </c>
      <c r="G33" s="236">
        <f t="shared" si="23"/>
        <v>106610.98</v>
      </c>
      <c r="H33" s="33" t="s">
        <v>57</v>
      </c>
      <c r="I33" s="245">
        <v>14</v>
      </c>
      <c r="J33" s="31">
        <v>2400</v>
      </c>
      <c r="K33" s="12">
        <f t="shared" si="1"/>
        <v>171.42857142857142</v>
      </c>
      <c r="L33" s="245">
        <v>14</v>
      </c>
      <c r="M33" s="13">
        <f t="shared" si="24"/>
        <v>2300.1869158878503</v>
      </c>
      <c r="N33" s="12">
        <f t="shared" si="3"/>
        <v>164.29906542056074</v>
      </c>
      <c r="O33" s="14">
        <f t="shared" si="4"/>
        <v>0</v>
      </c>
      <c r="P33" s="15">
        <f t="shared" si="5"/>
        <v>-7.1295060080106794</v>
      </c>
      <c r="Q33" s="241">
        <f t="shared" si="6"/>
        <v>0.95841121495327108</v>
      </c>
      <c r="R33" s="615"/>
      <c r="S33" s="34">
        <v>0.36388888888888882</v>
      </c>
      <c r="T33" s="34">
        <v>0.43819444444444439</v>
      </c>
      <c r="U33" s="236">
        <f t="shared" si="26"/>
        <v>4.9999999999999822</v>
      </c>
      <c r="V33" s="246">
        <f t="shared" si="25"/>
        <v>107.00000000000001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-99.813084112149681</v>
      </c>
      <c r="AF33" s="241">
        <f t="shared" si="9"/>
        <v>0.95841121495327097</v>
      </c>
      <c r="AG33" s="615"/>
    </row>
    <row r="34" spans="1:33" ht="15.75" customHeight="1">
      <c r="A34" s="641" t="s">
        <v>1042</v>
      </c>
      <c r="B34" s="29" t="s">
        <v>32</v>
      </c>
      <c r="C34" s="640" t="s">
        <v>36</v>
      </c>
      <c r="D34" s="640"/>
      <c r="E34" s="29">
        <v>20.36</v>
      </c>
      <c r="F34" s="247">
        <v>2800</v>
      </c>
      <c r="G34" s="236">
        <f t="shared" si="23"/>
        <v>57008</v>
      </c>
      <c r="H34" s="33">
        <v>2</v>
      </c>
      <c r="I34" s="245">
        <v>17</v>
      </c>
      <c r="J34" s="31">
        <v>2400</v>
      </c>
      <c r="K34" s="12">
        <f t="shared" si="1"/>
        <v>141.1764705882353</v>
      </c>
      <c r="L34" s="245">
        <v>17</v>
      </c>
      <c r="M34" s="13">
        <f t="shared" si="24"/>
        <v>2301.3698630136987</v>
      </c>
      <c r="N34" s="12">
        <f t="shared" si="3"/>
        <v>135.37469782433521</v>
      </c>
      <c r="O34" s="14">
        <f t="shared" si="4"/>
        <v>0</v>
      </c>
      <c r="P34" s="15">
        <f t="shared" si="5"/>
        <v>-5.8017727639000896</v>
      </c>
      <c r="Q34" s="241">
        <f t="shared" si="6"/>
        <v>0.95890410958904104</v>
      </c>
      <c r="R34" s="615"/>
      <c r="S34" s="34">
        <v>0.44305555555555548</v>
      </c>
      <c r="T34" s="34">
        <v>0.49374999999999991</v>
      </c>
      <c r="U34" s="236">
        <f t="shared" si="26"/>
        <v>6.9999999999999751</v>
      </c>
      <c r="V34" s="246">
        <f t="shared" si="25"/>
        <v>72.999999999999986</v>
      </c>
      <c r="W34" s="16">
        <f>T34</f>
        <v>0.49374999999999991</v>
      </c>
      <c r="X34" s="16">
        <f>S35</f>
        <v>0.53333333333333321</v>
      </c>
      <c r="Y34" s="16"/>
      <c r="Z34" s="16"/>
      <c r="AA34" s="617"/>
      <c r="AB34" s="617"/>
      <c r="AC34" s="35"/>
      <c r="AD34" s="18"/>
      <c r="AE34" s="14">
        <f t="shared" si="8"/>
        <v>-98.630136986301295</v>
      </c>
      <c r="AF34" s="241">
        <f t="shared" si="9"/>
        <v>0.95890410958904115</v>
      </c>
      <c r="AG34" s="615"/>
    </row>
    <row r="35" spans="1:33" ht="15.75" customHeight="1">
      <c r="A35" s="641" t="s">
        <v>10</v>
      </c>
      <c r="B35" s="29" t="s">
        <v>32</v>
      </c>
      <c r="C35" s="640" t="s">
        <v>76</v>
      </c>
      <c r="D35" s="640"/>
      <c r="E35" s="29">
        <v>26.18</v>
      </c>
      <c r="F35" s="247">
        <v>3470</v>
      </c>
      <c r="G35" s="236">
        <f t="shared" si="23"/>
        <v>90844.6</v>
      </c>
      <c r="H35" s="33" t="s">
        <v>57</v>
      </c>
      <c r="I35" s="245">
        <v>18</v>
      </c>
      <c r="J35" s="31">
        <v>2400</v>
      </c>
      <c r="K35" s="12">
        <f t="shared" si="1"/>
        <v>133.33333333333334</v>
      </c>
      <c r="L35" s="245">
        <v>18</v>
      </c>
      <c r="M35" s="13">
        <f t="shared" si="24"/>
        <v>2287.9120879120878</v>
      </c>
      <c r="N35" s="12">
        <f t="shared" si="3"/>
        <v>127.1062271062271</v>
      </c>
      <c r="O35" s="14">
        <f t="shared" si="4"/>
        <v>0</v>
      </c>
      <c r="P35" s="15">
        <f t="shared" si="5"/>
        <v>-6.2271062271062476</v>
      </c>
      <c r="Q35" s="241">
        <f t="shared" si="6"/>
        <v>0.95329670329670313</v>
      </c>
      <c r="R35" s="615"/>
      <c r="S35" s="34">
        <v>0.53333333333333321</v>
      </c>
      <c r="T35" s="34">
        <v>0.59652777777777766</v>
      </c>
      <c r="U35" s="236">
        <f t="shared" si="26"/>
        <v>56.999999999999957</v>
      </c>
      <c r="V35" s="246">
        <f t="shared" si="25"/>
        <v>91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-112.08791208791217</v>
      </c>
      <c r="AF35" s="241">
        <f t="shared" si="9"/>
        <v>0.95329670329670324</v>
      </c>
      <c r="AG35" s="615"/>
    </row>
    <row r="36" spans="1:33" ht="15.75" customHeight="1">
      <c r="A36" s="641" t="s">
        <v>1043</v>
      </c>
      <c r="B36" s="29" t="s">
        <v>32</v>
      </c>
      <c r="C36" s="640" t="s">
        <v>33</v>
      </c>
      <c r="D36" s="640"/>
      <c r="E36" s="29">
        <v>31.29</v>
      </c>
      <c r="F36" s="247">
        <v>3805</v>
      </c>
      <c r="G36" s="236">
        <f t="shared" si="23"/>
        <v>119058.45</v>
      </c>
      <c r="H36" s="33" t="s">
        <v>57</v>
      </c>
      <c r="I36" s="245">
        <v>18</v>
      </c>
      <c r="J36" s="31">
        <v>2400</v>
      </c>
      <c r="K36" s="12">
        <f t="shared" si="1"/>
        <v>133.33333333333334</v>
      </c>
      <c r="L36" s="245">
        <v>18</v>
      </c>
      <c r="M36" s="13">
        <f t="shared" si="24"/>
        <v>2306.0606060606069</v>
      </c>
      <c r="N36" s="12">
        <f t="shared" si="3"/>
        <v>128.11447811447817</v>
      </c>
      <c r="O36" s="14">
        <f t="shared" si="4"/>
        <v>0</v>
      </c>
      <c r="P36" s="15">
        <f t="shared" si="5"/>
        <v>-5.2188552188551682</v>
      </c>
      <c r="Q36" s="241">
        <f t="shared" si="6"/>
        <v>0.96085858585858619</v>
      </c>
      <c r="R36" s="615"/>
      <c r="S36" s="34">
        <v>0.60208333333333319</v>
      </c>
      <c r="T36" s="34">
        <v>0.67083333333333317</v>
      </c>
      <c r="U36" s="236">
        <f t="shared" si="26"/>
        <v>7.9999999999999716</v>
      </c>
      <c r="V36" s="246">
        <f t="shared" si="25"/>
        <v>98.999999999999972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-93.939393939393085</v>
      </c>
      <c r="AF36" s="241">
        <f t="shared" si="9"/>
        <v>0.96085858585858619</v>
      </c>
      <c r="AG36" s="615"/>
    </row>
    <row r="37" spans="1:33" ht="15.75" customHeight="1">
      <c r="A37" s="641" t="s">
        <v>1043</v>
      </c>
      <c r="B37" s="29" t="s">
        <v>32</v>
      </c>
      <c r="C37" s="243" t="s">
        <v>34</v>
      </c>
      <c r="D37" s="244"/>
      <c r="E37" s="29">
        <v>26.37</v>
      </c>
      <c r="F37" s="247">
        <v>2787</v>
      </c>
      <c r="G37" s="236">
        <f t="shared" si="23"/>
        <v>73493.19</v>
      </c>
      <c r="H37" s="33" t="s">
        <v>57</v>
      </c>
      <c r="I37" s="245">
        <v>18</v>
      </c>
      <c r="J37" s="31">
        <v>2400</v>
      </c>
      <c r="K37" s="12">
        <f t="shared" si="1"/>
        <v>133.33333333333334</v>
      </c>
      <c r="L37" s="245">
        <v>18</v>
      </c>
      <c r="M37" s="13">
        <f t="shared" si="24"/>
        <v>2290.6849315068475</v>
      </c>
      <c r="N37" s="12">
        <f t="shared" si="3"/>
        <v>127.26027397260265</v>
      </c>
      <c r="O37" s="14">
        <f t="shared" si="4"/>
        <v>0</v>
      </c>
      <c r="P37" s="15">
        <f t="shared" si="5"/>
        <v>-6.0730593607306957</v>
      </c>
      <c r="Q37" s="241">
        <f t="shared" si="6"/>
        <v>0.95445205479451978</v>
      </c>
      <c r="R37" s="615"/>
      <c r="S37" s="34">
        <v>0.67430555555555538</v>
      </c>
      <c r="T37" s="34">
        <v>0.72499999999999987</v>
      </c>
      <c r="U37" s="236">
        <f t="shared" si="26"/>
        <v>4.9999999999999822</v>
      </c>
      <c r="V37" s="246">
        <f t="shared" si="25"/>
        <v>73.000000000000057</v>
      </c>
      <c r="W37" s="16"/>
      <c r="X37" s="16"/>
      <c r="Y37" s="16"/>
      <c r="Z37" s="16"/>
      <c r="AA37" s="239"/>
      <c r="AB37" s="240"/>
      <c r="AC37" s="35"/>
      <c r="AD37" s="18"/>
      <c r="AE37" s="14">
        <f t="shared" si="8"/>
        <v>-109.31506849315247</v>
      </c>
      <c r="AF37" s="241">
        <f t="shared" si="9"/>
        <v>0.95445205479451978</v>
      </c>
      <c r="AG37" s="615"/>
    </row>
    <row r="38" spans="1:33" ht="15.75" customHeight="1">
      <c r="A38" s="641" t="s">
        <v>10</v>
      </c>
      <c r="B38" s="29" t="s">
        <v>6</v>
      </c>
      <c r="C38" s="618"/>
      <c r="D38" s="618"/>
      <c r="E38" s="242"/>
      <c r="F38" s="247"/>
      <c r="G38" s="236"/>
      <c r="H38" s="247"/>
      <c r="I38" s="23">
        <v>17.375</v>
      </c>
      <c r="J38" s="31">
        <v>2400</v>
      </c>
      <c r="K38" s="12">
        <f t="shared" si="1"/>
        <v>138.12949640287769</v>
      </c>
      <c r="L38" s="23">
        <v>17.375</v>
      </c>
      <c r="M38" s="13">
        <f>AVERAGE(M30:M37)</f>
        <v>2295.2378887019063</v>
      </c>
      <c r="N38" s="12">
        <f t="shared" si="3"/>
        <v>132.10002237133273</v>
      </c>
      <c r="O38" s="14">
        <f t="shared" si="4"/>
        <v>0</v>
      </c>
      <c r="P38" s="15">
        <f t="shared" si="5"/>
        <v>-6.0294740315449644</v>
      </c>
      <c r="Q38" s="241">
        <f t="shared" si="6"/>
        <v>0.95634912029246089</v>
      </c>
      <c r="R38" s="615"/>
      <c r="S38" s="34"/>
      <c r="T38" s="34"/>
      <c r="U38" s="236"/>
      <c r="V38" s="246"/>
      <c r="W38" s="236"/>
      <c r="X38" s="236"/>
      <c r="Y38" s="24">
        <f>SUM(Y30:Y37)</f>
        <v>0</v>
      </c>
      <c r="Z38" s="24">
        <f>SUM(Z30:Z37)</f>
        <v>0</v>
      </c>
      <c r="AA38" s="614"/>
      <c r="AB38" s="614"/>
      <c r="AC38" s="24">
        <v>8</v>
      </c>
      <c r="AD38" s="24">
        <f>SUM(AD30:AD37)</f>
        <v>0</v>
      </c>
      <c r="AE38" s="14">
        <f t="shared" si="8"/>
        <v>-104.76211129809371</v>
      </c>
      <c r="AF38" s="241">
        <f t="shared" si="9"/>
        <v>0.956349120292461</v>
      </c>
      <c r="AG38" s="615"/>
    </row>
    <row r="39" spans="1:33" ht="15.75" customHeight="1">
      <c r="A39" s="638" t="s">
        <v>11</v>
      </c>
      <c r="B39" s="29" t="s">
        <v>32</v>
      </c>
      <c r="C39" s="616" t="s">
        <v>77</v>
      </c>
      <c r="D39" s="616"/>
      <c r="E39" s="29">
        <v>26.18</v>
      </c>
      <c r="F39" s="247">
        <v>3600</v>
      </c>
      <c r="G39" s="236">
        <f t="shared" ref="G39:G46" si="27">E39*F39</f>
        <v>94248</v>
      </c>
      <c r="H39" s="33">
        <v>2</v>
      </c>
      <c r="I39" s="245">
        <v>20</v>
      </c>
      <c r="J39" s="31">
        <v>2400</v>
      </c>
      <c r="K39" s="12">
        <f t="shared" si="1"/>
        <v>120</v>
      </c>
      <c r="L39" s="245">
        <v>20</v>
      </c>
      <c r="M39" s="13">
        <f t="shared" ref="M39:M46" si="28">F39/V39*60</f>
        <v>2297.8723404255315</v>
      </c>
      <c r="N39" s="12">
        <f t="shared" si="3"/>
        <v>114.89361702127658</v>
      </c>
      <c r="O39" s="14">
        <f t="shared" si="4"/>
        <v>0</v>
      </c>
      <c r="P39" s="15">
        <f t="shared" si="5"/>
        <v>-5.106382978723417</v>
      </c>
      <c r="Q39" s="241">
        <f t="shared" si="6"/>
        <v>0.95744680851063824</v>
      </c>
      <c r="R39" s="615">
        <f>Q47</f>
        <v>0.95681966616783343</v>
      </c>
      <c r="S39" s="34">
        <v>8.3333333333333329E-2</v>
      </c>
      <c r="T39" s="34">
        <v>0.14861111111111111</v>
      </c>
      <c r="U39" s="236"/>
      <c r="V39" s="246">
        <f t="shared" ref="V39:V46" si="29">(T39-S39)*24*60</f>
        <v>94.000000000000014</v>
      </c>
      <c r="W39" s="21">
        <f>T39</f>
        <v>0.14861111111111111</v>
      </c>
      <c r="X39" s="21">
        <f>S40</f>
        <v>0.16875000000000001</v>
      </c>
      <c r="Y39" s="21"/>
      <c r="Z39" s="21"/>
      <c r="AA39" s="617"/>
      <c r="AB39" s="617"/>
      <c r="AC39" s="35">
        <v>8</v>
      </c>
      <c r="AD39" s="18"/>
      <c r="AE39" s="14">
        <f t="shared" si="8"/>
        <v>-102.12765957446845</v>
      </c>
      <c r="AF39" s="241">
        <f t="shared" si="9"/>
        <v>0.95744680851063813</v>
      </c>
      <c r="AG39" s="615">
        <f>AF47</f>
        <v>0.95681966616783343</v>
      </c>
    </row>
    <row r="40" spans="1:33" ht="15.75" customHeight="1">
      <c r="A40" s="638" t="s">
        <v>1044</v>
      </c>
      <c r="B40" s="29" t="s">
        <v>32</v>
      </c>
      <c r="C40" s="616" t="s">
        <v>37</v>
      </c>
      <c r="D40" s="616"/>
      <c r="E40" s="29">
        <v>24.43</v>
      </c>
      <c r="F40" s="247">
        <v>3800</v>
      </c>
      <c r="G40" s="236">
        <f t="shared" si="27"/>
        <v>92834</v>
      </c>
      <c r="H40" s="33">
        <v>2</v>
      </c>
      <c r="I40" s="245">
        <v>14</v>
      </c>
      <c r="J40" s="31">
        <v>2400</v>
      </c>
      <c r="K40" s="12">
        <f t="shared" si="1"/>
        <v>171.42857142857142</v>
      </c>
      <c r="L40" s="245">
        <v>14</v>
      </c>
      <c r="M40" s="13">
        <f t="shared" si="28"/>
        <v>2280</v>
      </c>
      <c r="N40" s="12">
        <f t="shared" si="3"/>
        <v>162.85714285714286</v>
      </c>
      <c r="O40" s="14">
        <f t="shared" si="4"/>
        <v>0</v>
      </c>
      <c r="P40" s="15">
        <f t="shared" si="5"/>
        <v>-8.5714285714285552</v>
      </c>
      <c r="Q40" s="241">
        <f t="shared" si="6"/>
        <v>0.95000000000000007</v>
      </c>
      <c r="R40" s="615"/>
      <c r="S40" s="34">
        <v>0.16875000000000001</v>
      </c>
      <c r="T40" s="34">
        <v>0.23819444444444446</v>
      </c>
      <c r="U40" s="236">
        <f t="shared" ref="U40:U46" si="30">(S40-T39)*24*60</f>
        <v>29.000000000000018</v>
      </c>
      <c r="V40" s="246">
        <f t="shared" si="29"/>
        <v>100</v>
      </c>
      <c r="W40" s="236"/>
      <c r="X40" s="236"/>
      <c r="Y40" s="236"/>
      <c r="Z40" s="236"/>
      <c r="AA40" s="617"/>
      <c r="AB40" s="617"/>
      <c r="AC40" s="35"/>
      <c r="AD40" s="18"/>
      <c r="AE40" s="14">
        <f t="shared" si="8"/>
        <v>-120</v>
      </c>
      <c r="AF40" s="241">
        <f t="shared" si="9"/>
        <v>0.95</v>
      </c>
      <c r="AG40" s="615"/>
    </row>
    <row r="41" spans="1:33">
      <c r="A41" s="639" t="s">
        <v>11</v>
      </c>
      <c r="B41" s="29" t="s">
        <v>32</v>
      </c>
      <c r="C41" s="616" t="s">
        <v>38</v>
      </c>
      <c r="D41" s="616"/>
      <c r="E41" s="29">
        <v>25.98</v>
      </c>
      <c r="F41" s="247">
        <v>3272</v>
      </c>
      <c r="G41" s="236">
        <f t="shared" si="27"/>
        <v>85006.56</v>
      </c>
      <c r="H41" s="33" t="s">
        <v>57</v>
      </c>
      <c r="I41" s="245">
        <v>21</v>
      </c>
      <c r="J41" s="31">
        <v>2400</v>
      </c>
      <c r="K41" s="12">
        <f t="shared" si="1"/>
        <v>114.28571428571429</v>
      </c>
      <c r="L41" s="245">
        <v>21</v>
      </c>
      <c r="M41" s="13">
        <f t="shared" si="28"/>
        <v>2309.6470588235288</v>
      </c>
      <c r="N41" s="12">
        <f t="shared" si="3"/>
        <v>109.9831932773109</v>
      </c>
      <c r="O41" s="14">
        <f t="shared" si="4"/>
        <v>0</v>
      </c>
      <c r="P41" s="15">
        <f t="shared" si="5"/>
        <v>-4.3025210084033887</v>
      </c>
      <c r="Q41" s="241">
        <f t="shared" si="6"/>
        <v>0.9623529411764703</v>
      </c>
      <c r="R41" s="615"/>
      <c r="S41" s="34">
        <v>0.24375000000000002</v>
      </c>
      <c r="T41" s="34">
        <v>0.30277777777777781</v>
      </c>
      <c r="U41" s="236">
        <f t="shared" si="30"/>
        <v>8.0000000000000107</v>
      </c>
      <c r="V41" s="246">
        <f t="shared" si="29"/>
        <v>85.000000000000014</v>
      </c>
      <c r="W41" s="236"/>
      <c r="X41" s="236"/>
      <c r="Y41" s="236"/>
      <c r="Z41" s="236"/>
      <c r="AA41" s="617"/>
      <c r="AB41" s="617"/>
      <c r="AC41" s="35"/>
      <c r="AD41" s="18"/>
      <c r="AE41" s="14">
        <f t="shared" si="8"/>
        <v>-90.352941176471177</v>
      </c>
      <c r="AF41" s="241">
        <f t="shared" si="9"/>
        <v>0.9623529411764703</v>
      </c>
      <c r="AG41" s="615"/>
    </row>
    <row r="42" spans="1:33">
      <c r="A42" s="639" t="s">
        <v>1044</v>
      </c>
      <c r="B42" s="29" t="s">
        <v>32</v>
      </c>
      <c r="C42" s="616" t="s">
        <v>39</v>
      </c>
      <c r="D42" s="616"/>
      <c r="E42" s="29">
        <v>34.1</v>
      </c>
      <c r="F42" s="247">
        <v>3700</v>
      </c>
      <c r="G42" s="236">
        <f t="shared" si="27"/>
        <v>126170</v>
      </c>
      <c r="H42" s="33">
        <v>2</v>
      </c>
      <c r="I42" s="245">
        <v>17</v>
      </c>
      <c r="J42" s="31">
        <v>1600</v>
      </c>
      <c r="K42" s="12">
        <f t="shared" si="1"/>
        <v>94.117647058823536</v>
      </c>
      <c r="L42" s="245">
        <v>17</v>
      </c>
      <c r="M42" s="13">
        <f t="shared" si="28"/>
        <v>1531.0344827586209</v>
      </c>
      <c r="N42" s="12">
        <f t="shared" si="3"/>
        <v>90.060851926977705</v>
      </c>
      <c r="O42" s="14">
        <f t="shared" si="4"/>
        <v>0</v>
      </c>
      <c r="P42" s="15">
        <f t="shared" si="5"/>
        <v>-4.0567951318458313</v>
      </c>
      <c r="Q42" s="241">
        <f t="shared" si="6"/>
        <v>0.95689655172413801</v>
      </c>
      <c r="R42" s="615"/>
      <c r="S42" s="34">
        <v>0.30833333333333335</v>
      </c>
      <c r="T42" s="34">
        <v>0.40902777777777777</v>
      </c>
      <c r="U42" s="236">
        <f t="shared" si="30"/>
        <v>7.9999999999999716</v>
      </c>
      <c r="V42" s="246">
        <f t="shared" si="29"/>
        <v>144.99999999999997</v>
      </c>
      <c r="W42" s="16"/>
      <c r="X42" s="16"/>
      <c r="Y42" s="16"/>
      <c r="Z42" s="16"/>
      <c r="AA42" s="617"/>
      <c r="AB42" s="617"/>
      <c r="AC42" s="35"/>
      <c r="AD42" s="18"/>
      <c r="AE42" s="14">
        <f t="shared" si="8"/>
        <v>-68.965517241379075</v>
      </c>
      <c r="AF42" s="241">
        <f t="shared" si="9"/>
        <v>0.95689655172413812</v>
      </c>
      <c r="AG42" s="615"/>
    </row>
    <row r="43" spans="1:33">
      <c r="A43" s="639" t="s">
        <v>11</v>
      </c>
      <c r="B43" s="29" t="s">
        <v>32</v>
      </c>
      <c r="C43" s="616" t="s">
        <v>84</v>
      </c>
      <c r="D43" s="616"/>
      <c r="E43" s="29">
        <v>20.21</v>
      </c>
      <c r="F43" s="247">
        <v>4595</v>
      </c>
      <c r="G43" s="236">
        <f t="shared" si="27"/>
        <v>92864.95</v>
      </c>
      <c r="H43" s="33" t="s">
        <v>57</v>
      </c>
      <c r="I43" s="245">
        <v>18</v>
      </c>
      <c r="J43" s="31">
        <v>2400</v>
      </c>
      <c r="K43" s="12">
        <f t="shared" si="1"/>
        <v>133.33333333333334</v>
      </c>
      <c r="L43" s="245">
        <v>18</v>
      </c>
      <c r="M43" s="13">
        <f t="shared" si="28"/>
        <v>2297.5000000000009</v>
      </c>
      <c r="N43" s="12">
        <f t="shared" si="3"/>
        <v>127.63888888888894</v>
      </c>
      <c r="O43" s="14">
        <f t="shared" si="4"/>
        <v>0</v>
      </c>
      <c r="P43" s="15">
        <f t="shared" si="5"/>
        <v>-5.6944444444444002</v>
      </c>
      <c r="Q43" s="241">
        <f t="shared" si="6"/>
        <v>0.95729166666666698</v>
      </c>
      <c r="R43" s="615"/>
      <c r="S43" s="34">
        <v>0.41319444444444442</v>
      </c>
      <c r="T43" s="34">
        <v>0.49652777777777773</v>
      </c>
      <c r="U43" s="236">
        <f t="shared" si="30"/>
        <v>5.9999999999999787</v>
      </c>
      <c r="V43" s="246">
        <f t="shared" si="29"/>
        <v>119.99999999999997</v>
      </c>
      <c r="W43" s="16">
        <f>T43</f>
        <v>0.49652777777777773</v>
      </c>
      <c r="X43" s="16">
        <f>S44</f>
        <v>0.53680555555555554</v>
      </c>
      <c r="Y43" s="16"/>
      <c r="Z43" s="16"/>
      <c r="AA43" s="617"/>
      <c r="AB43" s="617"/>
      <c r="AC43" s="35"/>
      <c r="AD43" s="18"/>
      <c r="AE43" s="14">
        <f t="shared" si="8"/>
        <v>-102.49999999999909</v>
      </c>
      <c r="AF43" s="241">
        <f t="shared" si="9"/>
        <v>0.9572916666666671</v>
      </c>
      <c r="AG43" s="615"/>
    </row>
    <row r="44" spans="1:33">
      <c r="A44" s="639" t="s">
        <v>11</v>
      </c>
      <c r="B44" s="29" t="s">
        <v>32</v>
      </c>
      <c r="C44" s="616" t="s">
        <v>39</v>
      </c>
      <c r="D44" s="616"/>
      <c r="E44" s="29">
        <v>34.1</v>
      </c>
      <c r="F44" s="247">
        <v>2843</v>
      </c>
      <c r="G44" s="236">
        <f t="shared" si="27"/>
        <v>96946.3</v>
      </c>
      <c r="H44" s="33" t="s">
        <v>57</v>
      </c>
      <c r="I44" s="245">
        <v>17</v>
      </c>
      <c r="J44" s="31">
        <v>1600</v>
      </c>
      <c r="K44" s="12">
        <f t="shared" si="1"/>
        <v>94.117647058823536</v>
      </c>
      <c r="L44" s="245">
        <v>17</v>
      </c>
      <c r="M44" s="13">
        <f t="shared" si="28"/>
        <v>1523.0357142857154</v>
      </c>
      <c r="N44" s="12">
        <f t="shared" si="3"/>
        <v>89.59033613445385</v>
      </c>
      <c r="O44" s="14">
        <f t="shared" si="4"/>
        <v>0</v>
      </c>
      <c r="P44" s="15">
        <f t="shared" si="5"/>
        <v>-4.5273109243696865</v>
      </c>
      <c r="Q44" s="241">
        <f t="shared" si="6"/>
        <v>0.95189732142857209</v>
      </c>
      <c r="R44" s="615"/>
      <c r="S44" s="34">
        <v>0.53680555555555554</v>
      </c>
      <c r="T44" s="34">
        <v>0.61458333333333326</v>
      </c>
      <c r="U44" s="236">
        <f t="shared" si="30"/>
        <v>58.000000000000036</v>
      </c>
      <c r="V44" s="246">
        <f t="shared" si="29"/>
        <v>111.99999999999991</v>
      </c>
      <c r="W44" s="16"/>
      <c r="X44" s="16"/>
      <c r="Y44" s="16"/>
      <c r="Z44" s="16"/>
      <c r="AA44" s="617"/>
      <c r="AB44" s="617"/>
      <c r="AC44" s="35"/>
      <c r="AD44" s="18"/>
      <c r="AE44" s="14">
        <f t="shared" si="8"/>
        <v>-76.964285714284642</v>
      </c>
      <c r="AF44" s="241">
        <f t="shared" si="9"/>
        <v>0.95189732142857209</v>
      </c>
      <c r="AG44" s="615"/>
    </row>
    <row r="45" spans="1:33">
      <c r="A45" s="639" t="s">
        <v>1044</v>
      </c>
      <c r="B45" s="29" t="s">
        <v>32</v>
      </c>
      <c r="C45" s="616" t="s">
        <v>37</v>
      </c>
      <c r="D45" s="616"/>
      <c r="E45" s="29">
        <v>24.43</v>
      </c>
      <c r="F45" s="247">
        <v>2946</v>
      </c>
      <c r="G45" s="236">
        <f t="shared" si="27"/>
        <v>71970.78</v>
      </c>
      <c r="H45" s="33" t="s">
        <v>57</v>
      </c>
      <c r="I45" s="245">
        <v>14</v>
      </c>
      <c r="J45" s="31">
        <v>2400</v>
      </c>
      <c r="K45" s="12">
        <f t="shared" si="1"/>
        <v>171.42857142857142</v>
      </c>
      <c r="L45" s="245">
        <v>14</v>
      </c>
      <c r="M45" s="13">
        <f t="shared" si="28"/>
        <v>2295.5844155844143</v>
      </c>
      <c r="N45" s="12">
        <f t="shared" si="3"/>
        <v>163.97031539888673</v>
      </c>
      <c r="O45" s="14">
        <f t="shared" si="4"/>
        <v>0</v>
      </c>
      <c r="P45" s="15">
        <f t="shared" si="5"/>
        <v>-7.4582560296846907</v>
      </c>
      <c r="Q45" s="241">
        <f t="shared" si="6"/>
        <v>0.95649350649350595</v>
      </c>
      <c r="R45" s="615"/>
      <c r="S45" s="34">
        <v>0.6201388888888888</v>
      </c>
      <c r="T45" s="34">
        <v>0.67361111111111105</v>
      </c>
      <c r="U45" s="236">
        <f t="shared" si="30"/>
        <v>7.9999999999999716</v>
      </c>
      <c r="V45" s="246">
        <f t="shared" si="29"/>
        <v>77.000000000000043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-104.41558441558573</v>
      </c>
      <c r="AF45" s="241">
        <f t="shared" si="9"/>
        <v>0.95649350649350595</v>
      </c>
      <c r="AG45" s="615"/>
    </row>
    <row r="46" spans="1:33">
      <c r="A46" s="639" t="s">
        <v>1044</v>
      </c>
      <c r="B46" s="29" t="s">
        <v>32</v>
      </c>
      <c r="C46" s="616" t="s">
        <v>77</v>
      </c>
      <c r="D46" s="616"/>
      <c r="E46" s="29">
        <v>26.18</v>
      </c>
      <c r="F46" s="247">
        <v>2728</v>
      </c>
      <c r="G46" s="236">
        <f t="shared" si="27"/>
        <v>71419.039999999994</v>
      </c>
      <c r="H46" s="33" t="s">
        <v>57</v>
      </c>
      <c r="I46" s="245">
        <v>20</v>
      </c>
      <c r="J46" s="31">
        <v>2400</v>
      </c>
      <c r="K46" s="12">
        <f t="shared" si="1"/>
        <v>120</v>
      </c>
      <c r="L46" s="245">
        <v>20</v>
      </c>
      <c r="M46" s="13">
        <f t="shared" si="28"/>
        <v>2305.3521126760538</v>
      </c>
      <c r="N46" s="12">
        <f t="shared" si="3"/>
        <v>115.26760563380269</v>
      </c>
      <c r="O46" s="14">
        <f t="shared" si="4"/>
        <v>0</v>
      </c>
      <c r="P46" s="15">
        <f t="shared" si="5"/>
        <v>-4.7323943661973118</v>
      </c>
      <c r="Q46" s="241">
        <f t="shared" si="6"/>
        <v>0.96056338028168908</v>
      </c>
      <c r="R46" s="615"/>
      <c r="S46" s="34">
        <v>0.67916666666666659</v>
      </c>
      <c r="T46" s="34">
        <v>0.72847222222222219</v>
      </c>
      <c r="U46" s="236">
        <f t="shared" si="30"/>
        <v>7.9999999999999716</v>
      </c>
      <c r="V46" s="246">
        <f t="shared" si="29"/>
        <v>71.000000000000071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-94.647887323946179</v>
      </c>
      <c r="AF46" s="241">
        <f t="shared" si="9"/>
        <v>0.96056338028168908</v>
      </c>
      <c r="AG46" s="615"/>
    </row>
    <row r="47" spans="1:33">
      <c r="A47" s="639" t="s">
        <v>1044</v>
      </c>
      <c r="B47" s="30" t="s">
        <v>1045</v>
      </c>
      <c r="C47" s="618"/>
      <c r="D47" s="618"/>
      <c r="E47" s="242"/>
      <c r="F47" s="30"/>
      <c r="G47" s="12"/>
      <c r="H47" s="247"/>
      <c r="I47" s="23">
        <v>17.625</v>
      </c>
      <c r="J47" s="31">
        <v>2200</v>
      </c>
      <c r="K47" s="12">
        <f t="shared" si="1"/>
        <v>124.822695035461</v>
      </c>
      <c r="L47" s="23">
        <v>17.625</v>
      </c>
      <c r="M47" s="13">
        <f>AVERAGE(M39:M46)</f>
        <v>2105.0032655692335</v>
      </c>
      <c r="N47" s="12">
        <f t="shared" si="3"/>
        <v>119.43280939399907</v>
      </c>
      <c r="O47" s="14">
        <f t="shared" si="4"/>
        <v>0</v>
      </c>
      <c r="P47" s="15">
        <f t="shared" si="5"/>
        <v>-5.3898856414619303</v>
      </c>
      <c r="Q47" s="241">
        <f t="shared" si="6"/>
        <v>0.95681966616783343</v>
      </c>
      <c r="R47" s="615"/>
      <c r="S47" s="34"/>
      <c r="T47" s="34"/>
      <c r="U47" s="12"/>
      <c r="V47" s="246"/>
      <c r="W47" s="12"/>
      <c r="X47" s="12"/>
      <c r="Y47" s="24">
        <f>SUM(Y39:Y46)</f>
        <v>0</v>
      </c>
      <c r="Z47" s="24">
        <f>SUM(Z39:Z46)</f>
        <v>0</v>
      </c>
      <c r="AA47" s="614"/>
      <c r="AB47" s="614"/>
      <c r="AC47" s="24">
        <v>8</v>
      </c>
      <c r="AD47" s="24">
        <f>SUM(AD39:AD46)</f>
        <v>0</v>
      </c>
      <c r="AE47" s="14">
        <f t="shared" si="8"/>
        <v>-94.996734430766537</v>
      </c>
      <c r="AF47" s="241">
        <f t="shared" si="9"/>
        <v>0.95681966616783343</v>
      </c>
      <c r="AG47" s="615"/>
    </row>
    <row r="48" spans="1:33" ht="15.75" customHeight="1">
      <c r="A48" s="632" t="s">
        <v>1046</v>
      </c>
      <c r="B48" s="29" t="s">
        <v>40</v>
      </c>
      <c r="C48" s="622" t="s">
        <v>41</v>
      </c>
      <c r="D48" s="623"/>
      <c r="E48" s="29">
        <v>37.880000000000003</v>
      </c>
      <c r="F48" s="247">
        <v>1095</v>
      </c>
      <c r="G48" s="236">
        <f t="shared" ref="G48:G51" si="31">E48*F48</f>
        <v>41478.600000000006</v>
      </c>
      <c r="H48" s="33" t="s">
        <v>57</v>
      </c>
      <c r="I48" s="245">
        <v>13</v>
      </c>
      <c r="J48" s="31">
        <v>2000</v>
      </c>
      <c r="K48" s="12">
        <f t="shared" si="1"/>
        <v>153.84615384615384</v>
      </c>
      <c r="L48" s="245">
        <v>13</v>
      </c>
      <c r="M48" s="13">
        <f t="shared" ref="M48:M51" si="32">F48/V48*60</f>
        <v>1932.3529411764705</v>
      </c>
      <c r="N48" s="13">
        <f t="shared" si="3"/>
        <v>148.64253393665157</v>
      </c>
      <c r="O48" s="14">
        <f t="shared" si="4"/>
        <v>0</v>
      </c>
      <c r="P48" s="15">
        <f t="shared" si="5"/>
        <v>-5.2036199095022653</v>
      </c>
      <c r="Q48" s="241">
        <f t="shared" si="6"/>
        <v>0.9661764705882353</v>
      </c>
      <c r="R48" s="635">
        <f>Q52</f>
        <v>0.95752096614993565</v>
      </c>
      <c r="S48" s="34">
        <v>8.3333333333333329E-2</v>
      </c>
      <c r="T48" s="34">
        <v>0.10694444444444444</v>
      </c>
      <c r="U48" s="21"/>
      <c r="V48" s="246">
        <f t="shared" ref="V48:V51" si="33">(T48-S48)*24*60</f>
        <v>34</v>
      </c>
      <c r="W48" s="16">
        <f>T48</f>
        <v>0.10694444444444444</v>
      </c>
      <c r="X48" s="16">
        <f>S49</f>
        <v>0.12708333333333333</v>
      </c>
      <c r="Y48" s="19"/>
      <c r="Z48" s="19"/>
      <c r="AA48" s="624"/>
      <c r="AB48" s="625"/>
      <c r="AC48" s="35">
        <v>4</v>
      </c>
      <c r="AD48" s="18"/>
      <c r="AE48" s="14">
        <f t="shared" si="8"/>
        <v>-67.647058823529505</v>
      </c>
      <c r="AF48" s="241">
        <f t="shared" si="9"/>
        <v>0.96617647058823519</v>
      </c>
      <c r="AG48" s="635">
        <f>AF52</f>
        <v>0.95752096614993565</v>
      </c>
    </row>
    <row r="49" spans="1:33" ht="15.75" customHeight="1">
      <c r="A49" s="633" t="s">
        <v>12</v>
      </c>
      <c r="B49" s="29" t="s">
        <v>40</v>
      </c>
      <c r="C49" s="622" t="s">
        <v>42</v>
      </c>
      <c r="D49" s="623"/>
      <c r="E49" s="29">
        <v>35.119999999999997</v>
      </c>
      <c r="F49" s="247">
        <v>5360</v>
      </c>
      <c r="G49" s="236">
        <f t="shared" si="31"/>
        <v>188243.19999999998</v>
      </c>
      <c r="H49" s="33" t="s">
        <v>57</v>
      </c>
      <c r="I49" s="245">
        <v>10</v>
      </c>
      <c r="J49" s="31">
        <v>3000</v>
      </c>
      <c r="K49" s="12">
        <f t="shared" si="1"/>
        <v>300</v>
      </c>
      <c r="L49" s="245">
        <v>10</v>
      </c>
      <c r="M49" s="13">
        <f t="shared" si="32"/>
        <v>2871.4285714285711</v>
      </c>
      <c r="N49" s="13">
        <f t="shared" si="3"/>
        <v>287.14285714285711</v>
      </c>
      <c r="O49" s="14">
        <f t="shared" si="4"/>
        <v>0</v>
      </c>
      <c r="P49" s="15">
        <f t="shared" si="5"/>
        <v>-12.85714285714289</v>
      </c>
      <c r="Q49" s="241">
        <f t="shared" si="6"/>
        <v>0.95714285714285707</v>
      </c>
      <c r="R49" s="636"/>
      <c r="S49" s="34">
        <v>0.12708333333333333</v>
      </c>
      <c r="T49" s="34">
        <v>0.2048611111111111</v>
      </c>
      <c r="U49" s="236">
        <f t="shared" ref="U49:U51" si="34">(S49-T48)*24*60</f>
        <v>28.999999999999996</v>
      </c>
      <c r="V49" s="246">
        <f t="shared" si="33"/>
        <v>112</v>
      </c>
      <c r="W49" s="16"/>
      <c r="X49" s="16"/>
      <c r="Y49" s="19"/>
      <c r="Z49" s="19"/>
      <c r="AA49" s="624"/>
      <c r="AB49" s="625"/>
      <c r="AC49" s="35"/>
      <c r="AD49" s="18"/>
      <c r="AE49" s="14">
        <f t="shared" si="8"/>
        <v>-128.5714285714289</v>
      </c>
      <c r="AF49" s="241">
        <f t="shared" si="9"/>
        <v>0.95714285714285707</v>
      </c>
      <c r="AG49" s="636"/>
    </row>
    <row r="50" spans="1:33" ht="15.75" customHeight="1">
      <c r="A50" s="633" t="s">
        <v>12</v>
      </c>
      <c r="B50" s="29" t="s">
        <v>40</v>
      </c>
      <c r="C50" s="622" t="s">
        <v>43</v>
      </c>
      <c r="D50" s="623"/>
      <c r="E50" s="29">
        <v>21.13</v>
      </c>
      <c r="F50" s="247">
        <v>5382</v>
      </c>
      <c r="G50" s="236">
        <f t="shared" si="31"/>
        <v>113721.65999999999</v>
      </c>
      <c r="H50" s="33" t="s">
        <v>57</v>
      </c>
      <c r="I50" s="245">
        <v>10</v>
      </c>
      <c r="J50" s="31">
        <v>3000</v>
      </c>
      <c r="K50" s="12">
        <f t="shared" si="1"/>
        <v>300</v>
      </c>
      <c r="L50" s="245">
        <v>10</v>
      </c>
      <c r="M50" s="13">
        <f t="shared" si="32"/>
        <v>2857.6991150442486</v>
      </c>
      <c r="N50" s="13">
        <f t="shared" si="3"/>
        <v>285.76991150442484</v>
      </c>
      <c r="O50" s="14">
        <f t="shared" si="4"/>
        <v>0</v>
      </c>
      <c r="P50" s="15">
        <f t="shared" si="5"/>
        <v>-14.23008849557516</v>
      </c>
      <c r="Q50" s="241">
        <f t="shared" si="6"/>
        <v>0.95256637168141611</v>
      </c>
      <c r="R50" s="636"/>
      <c r="S50" s="34">
        <v>0.20972222222222223</v>
      </c>
      <c r="T50" s="34">
        <v>0.28819444444444442</v>
      </c>
      <c r="U50" s="236">
        <f t="shared" si="34"/>
        <v>7.0000000000000151</v>
      </c>
      <c r="V50" s="246">
        <f t="shared" si="33"/>
        <v>112.99999999999996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-142.30088495575137</v>
      </c>
      <c r="AF50" s="241">
        <f t="shared" si="9"/>
        <v>0.95256637168141622</v>
      </c>
      <c r="AG50" s="636"/>
    </row>
    <row r="51" spans="1:33" ht="15.75" customHeight="1">
      <c r="A51" s="633" t="s">
        <v>12</v>
      </c>
      <c r="B51" s="29" t="s">
        <v>40</v>
      </c>
      <c r="C51" s="622" t="s">
        <v>44</v>
      </c>
      <c r="D51" s="623"/>
      <c r="E51" s="29">
        <v>27.17</v>
      </c>
      <c r="F51" s="247">
        <v>6891</v>
      </c>
      <c r="G51" s="236">
        <f t="shared" si="31"/>
        <v>187228.47</v>
      </c>
      <c r="H51" s="33" t="s">
        <v>57</v>
      </c>
      <c r="I51" s="245">
        <v>10</v>
      </c>
      <c r="J51" s="31">
        <v>3000</v>
      </c>
      <c r="K51" s="12">
        <f t="shared" si="1"/>
        <v>300</v>
      </c>
      <c r="L51" s="245">
        <v>10</v>
      </c>
      <c r="M51" s="13">
        <f t="shared" si="32"/>
        <v>2871.2500000000009</v>
      </c>
      <c r="N51" s="13">
        <f t="shared" si="3"/>
        <v>287.12500000000011</v>
      </c>
      <c r="O51" s="14">
        <f t="shared" si="4"/>
        <v>0</v>
      </c>
      <c r="P51" s="15">
        <f t="shared" si="5"/>
        <v>-12.874999999999886</v>
      </c>
      <c r="Q51" s="241">
        <f t="shared" si="6"/>
        <v>0.95708333333333373</v>
      </c>
      <c r="R51" s="636"/>
      <c r="S51" s="34">
        <v>0.29374999999999996</v>
      </c>
      <c r="T51" s="34">
        <v>0.39374999999999993</v>
      </c>
      <c r="U51" s="236">
        <f t="shared" si="34"/>
        <v>7.9999999999999716</v>
      </c>
      <c r="V51" s="246">
        <f t="shared" si="33"/>
        <v>143.99999999999997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-128.74999999999909</v>
      </c>
      <c r="AF51" s="241">
        <f t="shared" si="9"/>
        <v>0.95708333333333362</v>
      </c>
      <c r="AG51" s="636"/>
    </row>
    <row r="52" spans="1:33" ht="15.75" customHeight="1">
      <c r="A52" s="634" t="s">
        <v>12</v>
      </c>
      <c r="B52" s="29" t="s">
        <v>6</v>
      </c>
      <c r="C52" s="612"/>
      <c r="D52" s="613"/>
      <c r="E52" s="234"/>
      <c r="F52" s="247"/>
      <c r="G52" s="236"/>
      <c r="H52" s="247"/>
      <c r="I52" s="23">
        <v>10.75</v>
      </c>
      <c r="J52" s="31">
        <v>2750</v>
      </c>
      <c r="K52" s="12">
        <f t="shared" si="1"/>
        <v>255.81395348837211</v>
      </c>
      <c r="L52" s="23">
        <v>10.75</v>
      </c>
      <c r="M52" s="13">
        <f>AVERAGE(M48:M51)</f>
        <v>2633.1826569123232</v>
      </c>
      <c r="N52" s="12">
        <f t="shared" si="3"/>
        <v>244.94722389882077</v>
      </c>
      <c r="O52" s="14">
        <f t="shared" si="4"/>
        <v>0</v>
      </c>
      <c r="P52" s="15">
        <f t="shared" si="5"/>
        <v>-10.86672958955134</v>
      </c>
      <c r="Q52" s="241">
        <f t="shared" si="6"/>
        <v>0.95752096614993565</v>
      </c>
      <c r="R52" s="637"/>
      <c r="S52" s="34"/>
      <c r="T52" s="34"/>
      <c r="U52" s="236"/>
      <c r="V52" s="246"/>
      <c r="W52" s="16"/>
      <c r="X52" s="16"/>
      <c r="Y52" s="24">
        <f>SUM(Y48:Y51)</f>
        <v>0</v>
      </c>
      <c r="Z52" s="24">
        <f>SUM(Z48:Z51)</f>
        <v>0</v>
      </c>
      <c r="AA52" s="628"/>
      <c r="AB52" s="629"/>
      <c r="AC52" s="24">
        <v>4</v>
      </c>
      <c r="AD52" s="24">
        <f>SUM(AD48:AD51)</f>
        <v>0</v>
      </c>
      <c r="AE52" s="14">
        <f t="shared" si="8"/>
        <v>-116.81734308767682</v>
      </c>
      <c r="AF52" s="241">
        <f t="shared" si="9"/>
        <v>0.95752096614993565</v>
      </c>
      <c r="AG52" s="637"/>
    </row>
    <row r="53" spans="1:33" ht="15.75" customHeight="1">
      <c r="A53" s="630" t="s">
        <v>181</v>
      </c>
      <c r="B53" s="29" t="s">
        <v>15</v>
      </c>
      <c r="C53" s="616" t="s">
        <v>47</v>
      </c>
      <c r="D53" s="616"/>
      <c r="E53" s="29">
        <v>51.75</v>
      </c>
      <c r="F53" s="32">
        <v>884</v>
      </c>
      <c r="G53" s="236">
        <f t="shared" ref="G53:G59" si="35">E53*F53</f>
        <v>45747</v>
      </c>
      <c r="H53" s="33" t="s">
        <v>57</v>
      </c>
      <c r="I53" s="245">
        <v>25</v>
      </c>
      <c r="J53" s="31">
        <v>2000</v>
      </c>
      <c r="K53" s="12">
        <f t="shared" si="1"/>
        <v>80</v>
      </c>
      <c r="L53" s="245">
        <v>25</v>
      </c>
      <c r="M53" s="13">
        <f t="shared" ref="M53" si="36">F53/V53*60</f>
        <v>1964.4444444444453</v>
      </c>
      <c r="N53" s="13">
        <f t="shared" si="3"/>
        <v>78.577777777777811</v>
      </c>
      <c r="O53" s="14">
        <f t="shared" si="4"/>
        <v>0</v>
      </c>
      <c r="P53" s="15">
        <f t="shared" si="5"/>
        <v>-1.4222222222221887</v>
      </c>
      <c r="Q53" s="241">
        <f t="shared" si="6"/>
        <v>0.98222222222222266</v>
      </c>
      <c r="R53" s="615">
        <f>Q60</f>
        <v>0.96013882467348144</v>
      </c>
      <c r="S53" s="34">
        <v>0.16666666666666666</v>
      </c>
      <c r="T53" s="34">
        <v>0.18541666666666665</v>
      </c>
      <c r="U53" s="21"/>
      <c r="V53" s="246">
        <f t="shared" ref="V53:V59" si="37">(T53-S53)*24*60</f>
        <v>26.999999999999986</v>
      </c>
      <c r="W53" s="16"/>
      <c r="X53" s="16"/>
      <c r="Y53" s="21"/>
      <c r="Z53" s="21"/>
      <c r="AA53" s="617"/>
      <c r="AB53" s="617"/>
      <c r="AC53" s="35">
        <v>7</v>
      </c>
      <c r="AD53" s="18"/>
      <c r="AE53" s="14">
        <f t="shared" si="8"/>
        <v>-35.555555555554747</v>
      </c>
      <c r="AF53" s="241">
        <f t="shared" si="9"/>
        <v>0.98222222222222266</v>
      </c>
      <c r="AG53" s="615">
        <f>AF60</f>
        <v>0.96013882467348144</v>
      </c>
    </row>
    <row r="54" spans="1:33" ht="15.75" customHeight="1">
      <c r="A54" s="630" t="s">
        <v>1047</v>
      </c>
      <c r="B54" s="29" t="s">
        <v>15</v>
      </c>
      <c r="C54" s="616" t="s">
        <v>46</v>
      </c>
      <c r="D54" s="616"/>
      <c r="E54" s="29">
        <v>56.43</v>
      </c>
      <c r="F54" s="32">
        <v>1563</v>
      </c>
      <c r="G54" s="236">
        <f t="shared" si="35"/>
        <v>88200.09</v>
      </c>
      <c r="H54" s="33" t="s">
        <v>57</v>
      </c>
      <c r="I54" s="245">
        <v>22</v>
      </c>
      <c r="J54" s="31">
        <v>2000</v>
      </c>
      <c r="K54" s="12">
        <f t="shared" si="1"/>
        <v>90.909090909090907</v>
      </c>
      <c r="L54" s="245">
        <v>22</v>
      </c>
      <c r="M54" s="13">
        <f>F54/V54*60</f>
        <v>1913.8775510204086</v>
      </c>
      <c r="N54" s="13">
        <f t="shared" si="3"/>
        <v>86.994434137291307</v>
      </c>
      <c r="O54" s="14">
        <f t="shared" si="4"/>
        <v>0</v>
      </c>
      <c r="P54" s="15">
        <f t="shared" si="5"/>
        <v>-3.9146567717995993</v>
      </c>
      <c r="Q54" s="241">
        <f t="shared" si="6"/>
        <v>0.95693877551020445</v>
      </c>
      <c r="R54" s="615"/>
      <c r="S54" s="34">
        <v>0.18888888888888886</v>
      </c>
      <c r="T54" s="34">
        <v>0.22291666666666662</v>
      </c>
      <c r="U54" s="236">
        <f t="shared" ref="U54:U59" si="38">IF(S54=TIME(17,0,0),"",(S54-T53)*24*60)</f>
        <v>4.9999999999999822</v>
      </c>
      <c r="V54" s="246">
        <f t="shared" si="37"/>
        <v>48.999999999999986</v>
      </c>
      <c r="W54" s="16">
        <f>T54</f>
        <v>0.22291666666666662</v>
      </c>
      <c r="X54" s="16">
        <f>S55</f>
        <v>0.24097222222222217</v>
      </c>
      <c r="Y54" s="16"/>
      <c r="Z54" s="16"/>
      <c r="AA54" s="617"/>
      <c r="AB54" s="617"/>
      <c r="AC54" s="35"/>
      <c r="AD54" s="18"/>
      <c r="AE54" s="14">
        <f t="shared" si="8"/>
        <v>-86.122448979591354</v>
      </c>
      <c r="AF54" s="241">
        <f t="shared" si="9"/>
        <v>0.95693877551020434</v>
      </c>
      <c r="AG54" s="615"/>
    </row>
    <row r="55" spans="1:33" ht="15.75" customHeight="1">
      <c r="A55" s="630" t="s">
        <v>181</v>
      </c>
      <c r="B55" s="29" t="s">
        <v>19</v>
      </c>
      <c r="C55" s="622" t="s">
        <v>81</v>
      </c>
      <c r="D55" s="623"/>
      <c r="E55" s="29">
        <v>46</v>
      </c>
      <c r="F55" s="32">
        <v>2995</v>
      </c>
      <c r="G55" s="236">
        <f t="shared" si="35"/>
        <v>137770</v>
      </c>
      <c r="H55" s="33" t="s">
        <v>57</v>
      </c>
      <c r="I55" s="245">
        <v>16</v>
      </c>
      <c r="J55" s="31">
        <v>2000</v>
      </c>
      <c r="K55" s="12">
        <f t="shared" si="1"/>
        <v>125</v>
      </c>
      <c r="L55" s="245">
        <v>16</v>
      </c>
      <c r="M55" s="13">
        <f t="shared" ref="M55:M59" si="39">F55/V55*60</f>
        <v>1911.702127659574</v>
      </c>
      <c r="N55" s="13">
        <f t="shared" si="3"/>
        <v>119.48138297872337</v>
      </c>
      <c r="O55" s="14">
        <f t="shared" si="4"/>
        <v>0</v>
      </c>
      <c r="P55" s="15">
        <f t="shared" si="5"/>
        <v>-5.5186170212766257</v>
      </c>
      <c r="Q55" s="241">
        <f t="shared" si="6"/>
        <v>0.95585106382978702</v>
      </c>
      <c r="R55" s="615"/>
      <c r="S55" s="34">
        <v>0.24097222222222217</v>
      </c>
      <c r="T55" s="34">
        <v>0.30624999999999997</v>
      </c>
      <c r="U55" s="236">
        <f t="shared" si="38"/>
        <v>25.999999999999986</v>
      </c>
      <c r="V55" s="246">
        <f t="shared" si="37"/>
        <v>94.000000000000028</v>
      </c>
      <c r="W55" s="16"/>
      <c r="X55" s="16"/>
      <c r="Y55" s="19"/>
      <c r="Z55" s="19"/>
      <c r="AA55" s="617"/>
      <c r="AB55" s="617"/>
      <c r="AC55" s="35"/>
      <c r="AD55" s="18"/>
      <c r="AE55" s="14">
        <f t="shared" si="8"/>
        <v>-88.297872340426011</v>
      </c>
      <c r="AF55" s="241">
        <f t="shared" si="9"/>
        <v>0.95585106382978702</v>
      </c>
      <c r="AG55" s="615"/>
    </row>
    <row r="56" spans="1:33" ht="15.75" customHeight="1">
      <c r="A56" s="630" t="s">
        <v>1047</v>
      </c>
      <c r="B56" s="29" t="s">
        <v>19</v>
      </c>
      <c r="C56" s="237" t="s">
        <v>945</v>
      </c>
      <c r="D56" s="238"/>
      <c r="E56" s="29">
        <v>46</v>
      </c>
      <c r="F56" s="32">
        <v>5718</v>
      </c>
      <c r="G56" s="236">
        <f t="shared" si="35"/>
        <v>263028</v>
      </c>
      <c r="H56" s="33" t="s">
        <v>57</v>
      </c>
      <c r="I56" s="245">
        <v>17</v>
      </c>
      <c r="J56" s="31">
        <v>2000</v>
      </c>
      <c r="K56" s="12">
        <f t="shared" si="1"/>
        <v>117.64705882352941</v>
      </c>
      <c r="L56" s="245">
        <v>17</v>
      </c>
      <c r="M56" s="13">
        <f t="shared" si="39"/>
        <v>1906</v>
      </c>
      <c r="N56" s="13">
        <f t="shared" si="3"/>
        <v>112.11764705882354</v>
      </c>
      <c r="O56" s="14">
        <f t="shared" si="4"/>
        <v>0</v>
      </c>
      <c r="P56" s="15">
        <f t="shared" si="5"/>
        <v>-5.5294117647058698</v>
      </c>
      <c r="Q56" s="241">
        <f t="shared" si="6"/>
        <v>0.95300000000000007</v>
      </c>
      <c r="R56" s="615"/>
      <c r="S56" s="34">
        <v>0.30972222222222218</v>
      </c>
      <c r="T56" s="34">
        <v>0.43472222222222218</v>
      </c>
      <c r="U56" s="236">
        <f t="shared" si="38"/>
        <v>4.9999999999999822</v>
      </c>
      <c r="V56" s="246">
        <f t="shared" si="37"/>
        <v>180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-94</v>
      </c>
      <c r="AF56" s="241">
        <f t="shared" si="9"/>
        <v>0.95299999999999996</v>
      </c>
      <c r="AG56" s="615"/>
    </row>
    <row r="57" spans="1:33" ht="15.75" customHeight="1">
      <c r="A57" s="630" t="s">
        <v>1047</v>
      </c>
      <c r="B57" s="29" t="s">
        <v>15</v>
      </c>
      <c r="C57" s="237" t="s">
        <v>27</v>
      </c>
      <c r="D57" s="238"/>
      <c r="E57" s="29">
        <v>59.04</v>
      </c>
      <c r="F57" s="32">
        <v>3325</v>
      </c>
      <c r="G57" s="236">
        <f t="shared" si="35"/>
        <v>196308</v>
      </c>
      <c r="H57" s="33" t="s">
        <v>57</v>
      </c>
      <c r="I57" s="245">
        <v>19</v>
      </c>
      <c r="J57" s="31">
        <v>2000</v>
      </c>
      <c r="K57" s="12">
        <f t="shared" si="1"/>
        <v>105.26315789473684</v>
      </c>
      <c r="L57" s="245">
        <v>19</v>
      </c>
      <c r="M57" s="13">
        <f t="shared" si="39"/>
        <v>1918.2692307692303</v>
      </c>
      <c r="N57" s="13">
        <f t="shared" si="3"/>
        <v>100.96153846153844</v>
      </c>
      <c r="O57" s="14">
        <f t="shared" si="4"/>
        <v>0</v>
      </c>
      <c r="P57" s="15">
        <f t="shared" si="5"/>
        <v>-4.3016194331983968</v>
      </c>
      <c r="Q57" s="241">
        <f t="shared" si="6"/>
        <v>0.9591346153846152</v>
      </c>
      <c r="R57" s="615"/>
      <c r="S57" s="34">
        <v>0.44027777777777771</v>
      </c>
      <c r="T57" s="34">
        <v>0.51249999999999996</v>
      </c>
      <c r="U57" s="236">
        <f t="shared" si="38"/>
        <v>7.9999999999999716</v>
      </c>
      <c r="V57" s="246">
        <f t="shared" si="37"/>
        <v>104.00000000000003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-81.730769230769738</v>
      </c>
      <c r="AF57" s="241">
        <f t="shared" si="9"/>
        <v>0.95913461538461509</v>
      </c>
      <c r="AG57" s="615"/>
    </row>
    <row r="58" spans="1:33" ht="15.75" customHeight="1">
      <c r="A58" s="630" t="s">
        <v>1047</v>
      </c>
      <c r="B58" s="29" t="s">
        <v>15</v>
      </c>
      <c r="C58" s="622" t="s">
        <v>48</v>
      </c>
      <c r="D58" s="623"/>
      <c r="E58" s="29">
        <v>55.56</v>
      </c>
      <c r="F58" s="32">
        <v>2462</v>
      </c>
      <c r="G58" s="236">
        <f t="shared" si="35"/>
        <v>136788.72</v>
      </c>
      <c r="H58" s="33" t="s">
        <v>57</v>
      </c>
      <c r="I58" s="245">
        <v>17</v>
      </c>
      <c r="J58" s="31">
        <v>2000</v>
      </c>
      <c r="K58" s="12">
        <f t="shared" si="1"/>
        <v>117.64705882352941</v>
      </c>
      <c r="L58" s="245">
        <v>17</v>
      </c>
      <c r="M58" s="13">
        <f t="shared" si="39"/>
        <v>1918.4415584415574</v>
      </c>
      <c r="N58" s="13">
        <f t="shared" si="3"/>
        <v>112.84950343773868</v>
      </c>
      <c r="O58" s="14">
        <f t="shared" si="4"/>
        <v>0</v>
      </c>
      <c r="P58" s="15">
        <f t="shared" si="5"/>
        <v>-4.79755538579073</v>
      </c>
      <c r="Q58" s="241">
        <f t="shared" si="6"/>
        <v>0.95922077922077875</v>
      </c>
      <c r="R58" s="615"/>
      <c r="S58" s="34">
        <v>0.70833333333333337</v>
      </c>
      <c r="T58" s="34">
        <v>0.76180555555555562</v>
      </c>
      <c r="U58" s="236" t="str">
        <f t="shared" si="38"/>
        <v/>
      </c>
      <c r="V58" s="246">
        <f t="shared" si="37"/>
        <v>77.000000000000043</v>
      </c>
      <c r="W58" s="16"/>
      <c r="X58" s="16"/>
      <c r="Y58" s="19"/>
      <c r="Z58" s="19"/>
      <c r="AA58" s="624"/>
      <c r="AB58" s="625"/>
      <c r="AC58" s="35"/>
      <c r="AD58" s="18"/>
      <c r="AE58" s="14">
        <f t="shared" si="8"/>
        <v>-81.55844155844261</v>
      </c>
      <c r="AF58" s="241">
        <f t="shared" si="9"/>
        <v>0.95922077922077864</v>
      </c>
      <c r="AG58" s="615"/>
    </row>
    <row r="59" spans="1:33" ht="15.75" customHeight="1">
      <c r="A59" s="630" t="s">
        <v>181</v>
      </c>
      <c r="B59" s="29" t="s">
        <v>15</v>
      </c>
      <c r="C59" s="622" t="s">
        <v>841</v>
      </c>
      <c r="D59" s="623"/>
      <c r="E59" s="29">
        <v>54.09</v>
      </c>
      <c r="F59" s="32">
        <v>4423</v>
      </c>
      <c r="G59" s="236">
        <f t="shared" si="35"/>
        <v>239240.07</v>
      </c>
      <c r="H59" s="33" t="s">
        <v>57</v>
      </c>
      <c r="I59" s="245">
        <v>13</v>
      </c>
      <c r="J59" s="31">
        <v>2000</v>
      </c>
      <c r="K59" s="12">
        <f t="shared" si="1"/>
        <v>153.84615384615384</v>
      </c>
      <c r="L59" s="245">
        <v>13</v>
      </c>
      <c r="M59" s="13">
        <f t="shared" si="39"/>
        <v>1909.2086330935251</v>
      </c>
      <c r="N59" s="13">
        <f t="shared" si="3"/>
        <v>146.86220254565578</v>
      </c>
      <c r="O59" s="14">
        <f t="shared" si="4"/>
        <v>0</v>
      </c>
      <c r="P59" s="15">
        <f t="shared" si="5"/>
        <v>-6.9839513004980631</v>
      </c>
      <c r="Q59" s="241">
        <f t="shared" si="6"/>
        <v>0.95460431654676259</v>
      </c>
      <c r="R59" s="615"/>
      <c r="S59" s="34">
        <v>0.76527777777777783</v>
      </c>
      <c r="T59" s="34">
        <v>0.8618055555555556</v>
      </c>
      <c r="U59" s="236">
        <f t="shared" si="38"/>
        <v>4.9999999999999822</v>
      </c>
      <c r="V59" s="246">
        <f t="shared" si="37"/>
        <v>139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-90.791366906474877</v>
      </c>
      <c r="AF59" s="241">
        <f t="shared" si="9"/>
        <v>0.95460431654676259</v>
      </c>
      <c r="AG59" s="615"/>
    </row>
    <row r="60" spans="1:33">
      <c r="A60" s="631" t="s">
        <v>181</v>
      </c>
      <c r="B60" s="29" t="s">
        <v>6</v>
      </c>
      <c r="C60" s="618"/>
      <c r="D60" s="618"/>
      <c r="E60" s="242"/>
      <c r="F60" s="30"/>
      <c r="G60" s="12"/>
      <c r="H60" s="247"/>
      <c r="I60" s="23">
        <v>18.428571428571427</v>
      </c>
      <c r="J60" s="31">
        <v>2000</v>
      </c>
      <c r="K60" s="12">
        <f t="shared" si="1"/>
        <v>108.52713178294574</v>
      </c>
      <c r="L60" s="23">
        <v>18.428571428571427</v>
      </c>
      <c r="M60" s="13">
        <f>AVERAGE(M53:M59)</f>
        <v>1920.2776493469628</v>
      </c>
      <c r="N60" s="12">
        <f t="shared" si="3"/>
        <v>104.20111275526156</v>
      </c>
      <c r="O60" s="14">
        <f t="shared" si="4"/>
        <v>0</v>
      </c>
      <c r="P60" s="15">
        <f t="shared" si="5"/>
        <v>-4.3260190276841826</v>
      </c>
      <c r="Q60" s="241">
        <f t="shared" si="6"/>
        <v>0.96013882467348144</v>
      </c>
      <c r="R60" s="615"/>
      <c r="S60" s="34"/>
      <c r="T60" s="34"/>
      <c r="U60" s="236"/>
      <c r="V60" s="246"/>
      <c r="W60" s="12"/>
      <c r="X60" s="12"/>
      <c r="Y60" s="24">
        <f>SUM(Y53:Y59)</f>
        <v>0</v>
      </c>
      <c r="Z60" s="24">
        <f>SUM(Z53:Z59)</f>
        <v>0</v>
      </c>
      <c r="AA60" s="614"/>
      <c r="AB60" s="614"/>
      <c r="AC60" s="24">
        <v>7</v>
      </c>
      <c r="AD60" s="24">
        <f>SUM(AD53:AD59)</f>
        <v>0</v>
      </c>
      <c r="AE60" s="14">
        <f>M60-J60</f>
        <v>-79.722350653037211</v>
      </c>
      <c r="AF60" s="241">
        <f t="shared" si="9"/>
        <v>0.96013882467348144</v>
      </c>
      <c r="AG60" s="615"/>
    </row>
    <row r="61" spans="1:33" ht="15.75" customHeight="1">
      <c r="A61" s="626" t="s">
        <v>182</v>
      </c>
      <c r="B61" s="247" t="s">
        <v>40</v>
      </c>
      <c r="C61" s="616" t="s">
        <v>49</v>
      </c>
      <c r="D61" s="616"/>
      <c r="E61" s="29">
        <v>34.36</v>
      </c>
      <c r="F61" s="32">
        <v>2377</v>
      </c>
      <c r="G61" s="236">
        <f t="shared" ref="G61:G65" si="40">E61*F61</f>
        <v>81673.72</v>
      </c>
      <c r="H61" s="33" t="s">
        <v>57</v>
      </c>
      <c r="I61" s="245">
        <v>10</v>
      </c>
      <c r="J61" s="31">
        <v>3000</v>
      </c>
      <c r="K61" s="12">
        <f t="shared" si="1"/>
        <v>300</v>
      </c>
      <c r="L61" s="245">
        <v>10</v>
      </c>
      <c r="M61" s="13">
        <f t="shared" ref="M61:M65" si="41">F61/V61*60</f>
        <v>2852.3999999999987</v>
      </c>
      <c r="N61" s="12">
        <f t="shared" si="3"/>
        <v>285.2399999999999</v>
      </c>
      <c r="O61" s="14">
        <f t="shared" si="4"/>
        <v>0</v>
      </c>
      <c r="P61" s="15">
        <f t="shared" si="5"/>
        <v>-14.760000000000105</v>
      </c>
      <c r="Q61" s="241">
        <f t="shared" si="6"/>
        <v>0.95079999999999965</v>
      </c>
      <c r="R61" s="615">
        <f>Q66</f>
        <v>0.96094926313072615</v>
      </c>
      <c r="S61" s="34">
        <v>0.20833333333333334</v>
      </c>
      <c r="T61" s="34">
        <v>0.24305555555555558</v>
      </c>
      <c r="U61" s="236"/>
      <c r="V61" s="246">
        <f t="shared" ref="V61:V65" si="42">(T61-S61)*24*60</f>
        <v>50.000000000000021</v>
      </c>
      <c r="W61" s="16"/>
      <c r="X61" s="16"/>
      <c r="Y61" s="21"/>
      <c r="Z61" s="21"/>
      <c r="AA61" s="617"/>
      <c r="AB61" s="617"/>
      <c r="AC61" s="35">
        <v>5</v>
      </c>
      <c r="AD61" s="18"/>
      <c r="AE61" s="14">
        <f t="shared" ref="AE61:AE75" si="43">M61-J61</f>
        <v>-147.60000000000127</v>
      </c>
      <c r="AF61" s="241">
        <f t="shared" si="9"/>
        <v>0.95079999999999953</v>
      </c>
      <c r="AG61" s="615">
        <f>AF66</f>
        <v>0.96094926313072615</v>
      </c>
    </row>
    <row r="62" spans="1:33" ht="15.75" customHeight="1">
      <c r="A62" s="626" t="s">
        <v>182</v>
      </c>
      <c r="B62" s="247" t="s">
        <v>40</v>
      </c>
      <c r="C62" s="616" t="s">
        <v>50</v>
      </c>
      <c r="D62" s="616"/>
      <c r="E62" s="29">
        <v>34.36</v>
      </c>
      <c r="F62" s="32">
        <v>1248</v>
      </c>
      <c r="G62" s="236">
        <f t="shared" si="40"/>
        <v>42881.279999999999</v>
      </c>
      <c r="H62" s="33" t="s">
        <v>57</v>
      </c>
      <c r="I62" s="245">
        <v>10</v>
      </c>
      <c r="J62" s="31">
        <v>3000</v>
      </c>
      <c r="K62" s="12">
        <f t="shared" si="1"/>
        <v>300</v>
      </c>
      <c r="L62" s="245">
        <v>10</v>
      </c>
      <c r="M62" s="13">
        <f t="shared" si="41"/>
        <v>2879.9999999999968</v>
      </c>
      <c r="N62" s="12">
        <f t="shared" si="3"/>
        <v>287.99999999999966</v>
      </c>
      <c r="O62" s="14">
        <f t="shared" si="4"/>
        <v>0</v>
      </c>
      <c r="P62" s="15">
        <f t="shared" si="5"/>
        <v>-12.000000000000341</v>
      </c>
      <c r="Q62" s="241">
        <f t="shared" si="6"/>
        <v>0.95999999999999885</v>
      </c>
      <c r="R62" s="615"/>
      <c r="S62" s="34">
        <v>0.24722222222222226</v>
      </c>
      <c r="T62" s="34">
        <v>0.26527777777777783</v>
      </c>
      <c r="U62" s="236">
        <f t="shared" ref="U62:U65" si="44">(S62-T61)*24*60</f>
        <v>6.0000000000000187</v>
      </c>
      <c r="V62" s="246">
        <f t="shared" si="42"/>
        <v>26.000000000000028</v>
      </c>
      <c r="W62" s="236"/>
      <c r="X62" s="236"/>
      <c r="Y62" s="236"/>
      <c r="Z62" s="236"/>
      <c r="AA62" s="617"/>
      <c r="AB62" s="617"/>
      <c r="AC62" s="35"/>
      <c r="AD62" s="18"/>
      <c r="AE62" s="14">
        <f t="shared" si="43"/>
        <v>-120.00000000000318</v>
      </c>
      <c r="AF62" s="241">
        <f t="shared" si="9"/>
        <v>0.95999999999999897</v>
      </c>
      <c r="AG62" s="615"/>
    </row>
    <row r="63" spans="1:33" ht="15.75" customHeight="1">
      <c r="A63" s="626" t="s">
        <v>182</v>
      </c>
      <c r="B63" s="247" t="s">
        <v>40</v>
      </c>
      <c r="C63" s="616" t="s">
        <v>51</v>
      </c>
      <c r="D63" s="616"/>
      <c r="E63" s="29">
        <v>26.78</v>
      </c>
      <c r="F63" s="32">
        <v>2612</v>
      </c>
      <c r="G63" s="236">
        <f t="shared" si="40"/>
        <v>69949.36</v>
      </c>
      <c r="H63" s="33" t="s">
        <v>57</v>
      </c>
      <c r="I63" s="245">
        <v>10</v>
      </c>
      <c r="J63" s="31">
        <v>3000</v>
      </c>
      <c r="K63" s="12">
        <f t="shared" si="1"/>
        <v>300</v>
      </c>
      <c r="L63" s="245">
        <v>10</v>
      </c>
      <c r="M63" s="13">
        <f t="shared" si="41"/>
        <v>2902.2222222222235</v>
      </c>
      <c r="N63" s="12">
        <f t="shared" si="3"/>
        <v>290.22222222222234</v>
      </c>
      <c r="O63" s="14">
        <f t="shared" si="4"/>
        <v>0</v>
      </c>
      <c r="P63" s="15">
        <f t="shared" si="5"/>
        <v>-9.7777777777776578</v>
      </c>
      <c r="Q63" s="241">
        <f t="shared" si="6"/>
        <v>0.96740740740740783</v>
      </c>
      <c r="R63" s="615"/>
      <c r="S63" s="34">
        <v>0.26875000000000004</v>
      </c>
      <c r="T63" s="34">
        <v>0.30625000000000002</v>
      </c>
      <c r="U63" s="236">
        <f t="shared" si="44"/>
        <v>4.9999999999999822</v>
      </c>
      <c r="V63" s="246">
        <f t="shared" si="42"/>
        <v>53.999999999999972</v>
      </c>
      <c r="W63" s="236"/>
      <c r="X63" s="236"/>
      <c r="Y63" s="236"/>
      <c r="Z63" s="236"/>
      <c r="AA63" s="617"/>
      <c r="AB63" s="617"/>
      <c r="AC63" s="35"/>
      <c r="AD63" s="18"/>
      <c r="AE63" s="14">
        <f t="shared" si="43"/>
        <v>-97.777777777776464</v>
      </c>
      <c r="AF63" s="241">
        <f t="shared" si="9"/>
        <v>0.96740740740740783</v>
      </c>
      <c r="AG63" s="615"/>
    </row>
    <row r="64" spans="1:33" ht="15.75" customHeight="1">
      <c r="A64" s="626" t="s">
        <v>182</v>
      </c>
      <c r="B64" s="247" t="s">
        <v>40</v>
      </c>
      <c r="C64" s="616" t="s">
        <v>52</v>
      </c>
      <c r="D64" s="616"/>
      <c r="E64" s="29">
        <v>35.869999999999997</v>
      </c>
      <c r="F64" s="32">
        <v>3914</v>
      </c>
      <c r="G64" s="236">
        <f t="shared" si="40"/>
        <v>140395.18</v>
      </c>
      <c r="H64" s="33" t="s">
        <v>57</v>
      </c>
      <c r="I64" s="245">
        <v>9</v>
      </c>
      <c r="J64" s="31">
        <v>3000</v>
      </c>
      <c r="K64" s="12">
        <f t="shared" si="1"/>
        <v>333.33333333333331</v>
      </c>
      <c r="L64" s="245">
        <v>9</v>
      </c>
      <c r="M64" s="13">
        <f t="shared" si="41"/>
        <v>2863.902439024389</v>
      </c>
      <c r="N64" s="12">
        <f t="shared" si="3"/>
        <v>318.211382113821</v>
      </c>
      <c r="O64" s="14">
        <f t="shared" si="4"/>
        <v>0</v>
      </c>
      <c r="P64" s="15">
        <f t="shared" si="5"/>
        <v>-15.121951219512312</v>
      </c>
      <c r="Q64" s="241">
        <f t="shared" si="6"/>
        <v>0.95463414634146304</v>
      </c>
      <c r="R64" s="615"/>
      <c r="S64" s="34">
        <v>0.30972222222222223</v>
      </c>
      <c r="T64" s="34">
        <v>0.3666666666666667</v>
      </c>
      <c r="U64" s="236">
        <f t="shared" si="44"/>
        <v>4.9999999999999822</v>
      </c>
      <c r="V64" s="246">
        <f t="shared" si="42"/>
        <v>82.000000000000028</v>
      </c>
      <c r="W64" s="236"/>
      <c r="X64" s="236"/>
      <c r="Y64" s="236"/>
      <c r="Z64" s="236"/>
      <c r="AA64" s="617"/>
      <c r="AB64" s="617"/>
      <c r="AC64" s="35"/>
      <c r="AD64" s="18"/>
      <c r="AE64" s="14">
        <f t="shared" si="43"/>
        <v>-136.09756097561103</v>
      </c>
      <c r="AF64" s="241">
        <f t="shared" si="9"/>
        <v>0.95463414634146304</v>
      </c>
      <c r="AG64" s="615"/>
    </row>
    <row r="65" spans="1:33">
      <c r="A65" s="627" t="s">
        <v>182</v>
      </c>
      <c r="B65" s="247" t="s">
        <v>40</v>
      </c>
      <c r="C65" s="616" t="s">
        <v>53</v>
      </c>
      <c r="D65" s="616"/>
      <c r="E65" s="29">
        <v>34.35</v>
      </c>
      <c r="F65" s="32">
        <v>2041</v>
      </c>
      <c r="G65" s="236">
        <f t="shared" si="40"/>
        <v>70108.350000000006</v>
      </c>
      <c r="H65" s="33" t="s">
        <v>57</v>
      </c>
      <c r="I65" s="245">
        <v>8</v>
      </c>
      <c r="J65" s="31">
        <v>3000</v>
      </c>
      <c r="K65" s="12">
        <f t="shared" si="1"/>
        <v>375</v>
      </c>
      <c r="L65" s="245">
        <v>8</v>
      </c>
      <c r="M65" s="13">
        <f t="shared" si="41"/>
        <v>2915.7142857142849</v>
      </c>
      <c r="N65" s="12">
        <f t="shared" si="3"/>
        <v>364.46428571428561</v>
      </c>
      <c r="O65" s="14">
        <f t="shared" si="4"/>
        <v>0</v>
      </c>
      <c r="P65" s="15">
        <f t="shared" si="5"/>
        <v>-10.535714285714391</v>
      </c>
      <c r="Q65" s="241">
        <f t="shared" si="6"/>
        <v>0.9719047619047616</v>
      </c>
      <c r="R65" s="615"/>
      <c r="S65" s="34">
        <v>0.37152777777777779</v>
      </c>
      <c r="T65" s="34">
        <v>0.40069444444444446</v>
      </c>
      <c r="U65" s="236">
        <f t="shared" si="44"/>
        <v>6.9999999999999751</v>
      </c>
      <c r="V65" s="246">
        <f t="shared" si="42"/>
        <v>42.000000000000014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-84.28571428571513</v>
      </c>
      <c r="AF65" s="241">
        <f t="shared" si="9"/>
        <v>0.9719047619047616</v>
      </c>
      <c r="AG65" s="615"/>
    </row>
    <row r="66" spans="1:33">
      <c r="A66" s="627" t="s">
        <v>182</v>
      </c>
      <c r="B66" s="29" t="s">
        <v>6</v>
      </c>
      <c r="C66" s="618"/>
      <c r="D66" s="618"/>
      <c r="E66" s="242"/>
      <c r="F66" s="30"/>
      <c r="G66" s="12"/>
      <c r="H66" s="247"/>
      <c r="I66" s="23">
        <v>9.4</v>
      </c>
      <c r="J66" s="31">
        <v>3000</v>
      </c>
      <c r="K66" s="12">
        <f t="shared" si="1"/>
        <v>319.14893617021278</v>
      </c>
      <c r="L66" s="23">
        <v>9.4</v>
      </c>
      <c r="M66" s="13">
        <f>AVERAGE(M61:M65)</f>
        <v>2882.8477893921786</v>
      </c>
      <c r="N66" s="12">
        <f t="shared" si="3"/>
        <v>306.68593504172111</v>
      </c>
      <c r="O66" s="14">
        <f t="shared" si="4"/>
        <v>0</v>
      </c>
      <c r="P66" s="15">
        <f t="shared" si="5"/>
        <v>-12.463001128491669</v>
      </c>
      <c r="Q66" s="241">
        <f t="shared" si="6"/>
        <v>0.96094926313072615</v>
      </c>
      <c r="R66" s="615"/>
      <c r="S66" s="34"/>
      <c r="T66" s="34"/>
      <c r="U66" s="12"/>
      <c r="V66" s="246"/>
      <c r="W66" s="12"/>
      <c r="X66" s="12"/>
      <c r="Y66" s="24">
        <f>SUM(Y61:Y65)</f>
        <v>0</v>
      </c>
      <c r="Z66" s="24">
        <f>SUM(Z61:Z65)</f>
        <v>0</v>
      </c>
      <c r="AA66" s="614"/>
      <c r="AB66" s="614"/>
      <c r="AC66" s="24">
        <v>5</v>
      </c>
      <c r="AD66" s="24">
        <f>SUM(AD61:AD65)</f>
        <v>0</v>
      </c>
      <c r="AE66" s="14">
        <f t="shared" si="43"/>
        <v>-117.15221060782142</v>
      </c>
      <c r="AF66" s="241">
        <f t="shared" si="9"/>
        <v>0.96094926313072615</v>
      </c>
      <c r="AG66" s="615"/>
    </row>
    <row r="67" spans="1:33" ht="15.75" customHeight="1">
      <c r="A67" s="619" t="s">
        <v>14</v>
      </c>
      <c r="B67" s="247" t="s">
        <v>32</v>
      </c>
      <c r="C67" s="616" t="s">
        <v>56</v>
      </c>
      <c r="D67" s="616"/>
      <c r="E67" s="29">
        <v>19.02</v>
      </c>
      <c r="F67" s="247">
        <v>5900</v>
      </c>
      <c r="G67" s="236">
        <f t="shared" ref="G67:G74" si="45">E67*F67</f>
        <v>112218</v>
      </c>
      <c r="H67" s="33">
        <v>2</v>
      </c>
      <c r="I67" s="245">
        <v>14</v>
      </c>
      <c r="J67" s="31">
        <v>2400</v>
      </c>
      <c r="K67" s="12">
        <f t="shared" si="1"/>
        <v>171.42857142857142</v>
      </c>
      <c r="L67" s="245">
        <v>14</v>
      </c>
      <c r="M67" s="13">
        <f t="shared" ref="M67:M74" si="46">F67/V67*60</f>
        <v>2298.701298701299</v>
      </c>
      <c r="N67" s="12">
        <f t="shared" si="3"/>
        <v>164.19294990723566</v>
      </c>
      <c r="O67" s="14">
        <f t="shared" si="4"/>
        <v>0</v>
      </c>
      <c r="P67" s="15">
        <f t="shared" si="5"/>
        <v>-7.2356215213357586</v>
      </c>
      <c r="Q67" s="241">
        <f t="shared" si="6"/>
        <v>0.95779220779220808</v>
      </c>
      <c r="R67" s="615">
        <f>Q75</f>
        <v>0.95859283029102182</v>
      </c>
      <c r="S67" s="34">
        <v>8.3333333333333329E-2</v>
      </c>
      <c r="T67" s="34">
        <v>0.19027777777777777</v>
      </c>
      <c r="U67" s="21"/>
      <c r="V67" s="246">
        <f t="shared" ref="V67:V74" si="47">(T67-S67)*24*60</f>
        <v>154</v>
      </c>
      <c r="W67" s="16">
        <f>T67</f>
        <v>0.19027777777777777</v>
      </c>
      <c r="X67" s="16">
        <f>S68</f>
        <v>0.20763888888888885</v>
      </c>
      <c r="Y67" s="16"/>
      <c r="Z67" s="16"/>
      <c r="AA67" s="617"/>
      <c r="AB67" s="617"/>
      <c r="AC67" s="35">
        <v>8</v>
      </c>
      <c r="AD67" s="18"/>
      <c r="AE67" s="14">
        <f t="shared" si="43"/>
        <v>-101.29870129870096</v>
      </c>
      <c r="AF67" s="241">
        <f t="shared" si="9"/>
        <v>0.95779220779220797</v>
      </c>
      <c r="AG67" s="615">
        <f>AF75</f>
        <v>0.95859283029102171</v>
      </c>
    </row>
    <row r="68" spans="1:33" ht="15.75" customHeight="1">
      <c r="A68" s="620" t="s">
        <v>14</v>
      </c>
      <c r="B68" s="247" t="s">
        <v>32</v>
      </c>
      <c r="C68" s="616" t="s">
        <v>79</v>
      </c>
      <c r="D68" s="616"/>
      <c r="E68" s="29">
        <v>25.99</v>
      </c>
      <c r="F68" s="247">
        <v>2649</v>
      </c>
      <c r="G68" s="236">
        <f t="shared" si="45"/>
        <v>68847.509999999995</v>
      </c>
      <c r="H68" s="33" t="s">
        <v>57</v>
      </c>
      <c r="I68" s="245">
        <v>18</v>
      </c>
      <c r="J68" s="31">
        <v>2400</v>
      </c>
      <c r="K68" s="12">
        <f t="shared" si="1"/>
        <v>133.33333333333334</v>
      </c>
      <c r="L68" s="245">
        <v>18</v>
      </c>
      <c r="M68" s="13">
        <f t="shared" si="46"/>
        <v>2303.4782608695641</v>
      </c>
      <c r="N68" s="12">
        <f t="shared" si="3"/>
        <v>127.97101449275357</v>
      </c>
      <c r="O68" s="14">
        <f t="shared" si="4"/>
        <v>0</v>
      </c>
      <c r="P68" s="15">
        <f t="shared" si="5"/>
        <v>-5.3623188405797748</v>
      </c>
      <c r="Q68" s="241">
        <f t="shared" si="6"/>
        <v>0.95978260869565168</v>
      </c>
      <c r="R68" s="615"/>
      <c r="S68" s="34">
        <v>0.20763888888888885</v>
      </c>
      <c r="T68" s="34">
        <v>0.25555555555555554</v>
      </c>
      <c r="U68" s="236">
        <f t="shared" ref="U68:U74" si="48">(S68-T67)*24*60</f>
        <v>24.99999999999995</v>
      </c>
      <c r="V68" s="246">
        <f t="shared" si="47"/>
        <v>69.000000000000028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-96.52173913043589</v>
      </c>
      <c r="AF68" s="241">
        <f t="shared" si="9"/>
        <v>0.95978260869565168</v>
      </c>
      <c r="AG68" s="615"/>
    </row>
    <row r="69" spans="1:33" ht="15.75" customHeight="1">
      <c r="A69" s="620" t="s">
        <v>1048</v>
      </c>
      <c r="B69" s="247" t="s">
        <v>32</v>
      </c>
      <c r="C69" s="616" t="s">
        <v>949</v>
      </c>
      <c r="D69" s="616"/>
      <c r="E69" s="29">
        <v>25.98</v>
      </c>
      <c r="F69" s="247">
        <v>4900</v>
      </c>
      <c r="G69" s="236">
        <f t="shared" si="45"/>
        <v>127302</v>
      </c>
      <c r="H69" s="33">
        <v>2</v>
      </c>
      <c r="I69" s="245">
        <v>17</v>
      </c>
      <c r="J69" s="31">
        <v>2400</v>
      </c>
      <c r="K69" s="12">
        <f t="shared" ref="K69:K75" si="49">J69/I69</f>
        <v>141.1764705882353</v>
      </c>
      <c r="L69" s="245">
        <v>17</v>
      </c>
      <c r="M69" s="13">
        <f t="shared" si="46"/>
        <v>2296.8749999999995</v>
      </c>
      <c r="N69" s="12">
        <f t="shared" ref="N69:N75" si="50">M69/L69</f>
        <v>135.11029411764704</v>
      </c>
      <c r="O69" s="14">
        <f t="shared" ref="O69:O75" si="51">L69-I69</f>
        <v>0</v>
      </c>
      <c r="P69" s="15">
        <f t="shared" ref="P69:P75" si="52">N69-K69</f>
        <v>-6.0661764705882604</v>
      </c>
      <c r="Q69" s="241">
        <f t="shared" ref="Q69:Q75" si="53">N69/K69</f>
        <v>0.95703124999999978</v>
      </c>
      <c r="R69" s="615"/>
      <c r="S69" s="34">
        <v>0.26111111111111107</v>
      </c>
      <c r="T69" s="34">
        <v>0.35</v>
      </c>
      <c r="U69" s="236">
        <f t="shared" si="48"/>
        <v>7.9999999999999716</v>
      </c>
      <c r="V69" s="246">
        <f t="shared" si="47"/>
        <v>128.00000000000003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-103.12500000000045</v>
      </c>
      <c r="AF69" s="241">
        <f t="shared" ref="AF69:AF75" si="54">M69/J69</f>
        <v>0.95703124999999978</v>
      </c>
      <c r="AG69" s="615"/>
    </row>
    <row r="70" spans="1:33" ht="15.75" customHeight="1">
      <c r="A70" s="620" t="s">
        <v>1049</v>
      </c>
      <c r="B70" s="247" t="s">
        <v>32</v>
      </c>
      <c r="C70" s="616" t="s">
        <v>54</v>
      </c>
      <c r="D70" s="616"/>
      <c r="E70" s="29">
        <v>20.21</v>
      </c>
      <c r="F70" s="247">
        <v>3332</v>
      </c>
      <c r="G70" s="236">
        <f t="shared" si="45"/>
        <v>67339.72</v>
      </c>
      <c r="H70" s="33" t="s">
        <v>57</v>
      </c>
      <c r="I70" s="245">
        <v>15</v>
      </c>
      <c r="J70" s="31">
        <v>2400</v>
      </c>
      <c r="K70" s="12">
        <f t="shared" si="49"/>
        <v>160</v>
      </c>
      <c r="L70" s="245">
        <v>15</v>
      </c>
      <c r="M70" s="13">
        <f t="shared" si="46"/>
        <v>2297.9310344827582</v>
      </c>
      <c r="N70" s="12">
        <f t="shared" si="50"/>
        <v>153.19540229885055</v>
      </c>
      <c r="O70" s="14">
        <f t="shared" si="51"/>
        <v>0</v>
      </c>
      <c r="P70" s="15">
        <f t="shared" si="52"/>
        <v>-6.8045977011494472</v>
      </c>
      <c r="Q70" s="241">
        <f t="shared" si="53"/>
        <v>0.95747126436781593</v>
      </c>
      <c r="R70" s="615"/>
      <c r="S70" s="34">
        <v>0.35555555555555551</v>
      </c>
      <c r="T70" s="34">
        <v>0.41597222222222219</v>
      </c>
      <c r="U70" s="236">
        <f t="shared" si="48"/>
        <v>7.9999999999999716</v>
      </c>
      <c r="V70" s="246">
        <f t="shared" si="47"/>
        <v>87.000000000000014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-102.06896551724185</v>
      </c>
      <c r="AF70" s="241">
        <f t="shared" si="54"/>
        <v>0.95747126436781593</v>
      </c>
      <c r="AG70" s="615"/>
    </row>
    <row r="71" spans="1:33" ht="15.75" customHeight="1">
      <c r="A71" s="620" t="s">
        <v>1049</v>
      </c>
      <c r="B71" s="247" t="s">
        <v>32</v>
      </c>
      <c r="C71" s="616" t="s">
        <v>55</v>
      </c>
      <c r="D71" s="616"/>
      <c r="E71" s="29">
        <v>22.69</v>
      </c>
      <c r="F71" s="247">
        <v>3843</v>
      </c>
      <c r="G71" s="236">
        <f t="shared" si="45"/>
        <v>87197.67</v>
      </c>
      <c r="H71" s="33" t="s">
        <v>57</v>
      </c>
      <c r="I71" s="245">
        <v>15</v>
      </c>
      <c r="J71" s="31">
        <v>2400</v>
      </c>
      <c r="K71" s="12">
        <f t="shared" si="49"/>
        <v>160</v>
      </c>
      <c r="L71" s="245">
        <v>15</v>
      </c>
      <c r="M71" s="13">
        <f t="shared" si="46"/>
        <v>2305.8000000000006</v>
      </c>
      <c r="N71" s="12">
        <f t="shared" si="50"/>
        <v>153.72000000000006</v>
      </c>
      <c r="O71" s="14">
        <f t="shared" si="51"/>
        <v>0</v>
      </c>
      <c r="P71" s="15">
        <f t="shared" si="52"/>
        <v>-6.2799999999999443</v>
      </c>
      <c r="Q71" s="241">
        <f t="shared" si="53"/>
        <v>0.96075000000000033</v>
      </c>
      <c r="R71" s="615"/>
      <c r="S71" s="34">
        <v>0.42013888888888884</v>
      </c>
      <c r="T71" s="34">
        <v>0.48958333333333326</v>
      </c>
      <c r="U71" s="236">
        <f t="shared" si="48"/>
        <v>5.9999999999999787</v>
      </c>
      <c r="V71" s="246">
        <f t="shared" si="47"/>
        <v>99.999999999999972</v>
      </c>
      <c r="W71" s="16">
        <f>T71</f>
        <v>0.48958333333333326</v>
      </c>
      <c r="X71" s="16">
        <f>S72</f>
        <v>0.52916666666666656</v>
      </c>
      <c r="Y71" s="16"/>
      <c r="Z71" s="16"/>
      <c r="AA71" s="617"/>
      <c r="AB71" s="617"/>
      <c r="AC71" s="35"/>
      <c r="AD71" s="18"/>
      <c r="AE71" s="14">
        <f t="shared" si="43"/>
        <v>-94.199999999999363</v>
      </c>
      <c r="AF71" s="241">
        <f t="shared" si="54"/>
        <v>0.96075000000000021</v>
      </c>
      <c r="AG71" s="615"/>
    </row>
    <row r="72" spans="1:33" ht="15.75" customHeight="1">
      <c r="A72" s="620" t="s">
        <v>14</v>
      </c>
      <c r="B72" s="247" t="s">
        <v>32</v>
      </c>
      <c r="C72" s="616" t="s">
        <v>56</v>
      </c>
      <c r="D72" s="616"/>
      <c r="E72" s="29">
        <v>19.02</v>
      </c>
      <c r="F72" s="247">
        <v>4610</v>
      </c>
      <c r="G72" s="236">
        <f t="shared" si="45"/>
        <v>87682.2</v>
      </c>
      <c r="H72" s="33" t="s">
        <v>57</v>
      </c>
      <c r="I72" s="245">
        <v>14</v>
      </c>
      <c r="J72" s="31">
        <v>2400</v>
      </c>
      <c r="K72" s="12">
        <f t="shared" si="49"/>
        <v>171.42857142857142</v>
      </c>
      <c r="L72" s="245">
        <v>14</v>
      </c>
      <c r="M72" s="13">
        <f t="shared" si="46"/>
        <v>2285.9504132231395</v>
      </c>
      <c r="N72" s="12">
        <f t="shared" si="50"/>
        <v>163.28217237308141</v>
      </c>
      <c r="O72" s="14">
        <f t="shared" si="51"/>
        <v>0</v>
      </c>
      <c r="P72" s="15">
        <f t="shared" si="52"/>
        <v>-8.1463990554900079</v>
      </c>
      <c r="Q72" s="241">
        <f t="shared" si="53"/>
        <v>0.95247933884297498</v>
      </c>
      <c r="R72" s="615"/>
      <c r="S72" s="34">
        <v>0.52916666666666656</v>
      </c>
      <c r="T72" s="34">
        <v>0.61319444444444438</v>
      </c>
      <c r="U72" s="236">
        <f t="shared" si="48"/>
        <v>56.999999999999957</v>
      </c>
      <c r="V72" s="246">
        <f t="shared" si="47"/>
        <v>121.00000000000006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-114.04958677686045</v>
      </c>
      <c r="AF72" s="241">
        <f t="shared" si="54"/>
        <v>0.95247933884297487</v>
      </c>
      <c r="AG72" s="615"/>
    </row>
    <row r="73" spans="1:33" ht="15.75" customHeight="1">
      <c r="A73" s="620" t="s">
        <v>14</v>
      </c>
      <c r="B73" s="247" t="s">
        <v>32</v>
      </c>
      <c r="C73" s="622" t="s">
        <v>949</v>
      </c>
      <c r="D73" s="623"/>
      <c r="E73" s="29">
        <v>25.98</v>
      </c>
      <c r="F73" s="247">
        <v>3562</v>
      </c>
      <c r="G73" s="236">
        <f t="shared" si="45"/>
        <v>92540.76</v>
      </c>
      <c r="H73" s="33" t="s">
        <v>57</v>
      </c>
      <c r="I73" s="245">
        <v>17</v>
      </c>
      <c r="J73" s="31">
        <v>2400</v>
      </c>
      <c r="K73" s="12">
        <f t="shared" si="49"/>
        <v>141.1764705882353</v>
      </c>
      <c r="L73" s="245">
        <v>17</v>
      </c>
      <c r="M73" s="13">
        <f t="shared" si="46"/>
        <v>2298.0645161290327</v>
      </c>
      <c r="N73" s="12">
        <f t="shared" si="50"/>
        <v>135.18026565464899</v>
      </c>
      <c r="O73" s="14">
        <f t="shared" si="51"/>
        <v>0</v>
      </c>
      <c r="P73" s="15">
        <f t="shared" si="52"/>
        <v>-5.9962049335863128</v>
      </c>
      <c r="Q73" s="241">
        <f t="shared" si="53"/>
        <v>0.95752688172043032</v>
      </c>
      <c r="R73" s="615"/>
      <c r="S73" s="34">
        <v>0.61666666666666659</v>
      </c>
      <c r="T73" s="34">
        <v>0.68124999999999991</v>
      </c>
      <c r="U73" s="236">
        <f t="shared" si="48"/>
        <v>4.9999999999999822</v>
      </c>
      <c r="V73" s="246">
        <f t="shared" si="47"/>
        <v>92.999999999999986</v>
      </c>
      <c r="W73" s="16"/>
      <c r="X73" s="16"/>
      <c r="Y73" s="19"/>
      <c r="Z73" s="19"/>
      <c r="AA73" s="624"/>
      <c r="AB73" s="625"/>
      <c r="AC73" s="35"/>
      <c r="AD73" s="18"/>
      <c r="AE73" s="14">
        <f t="shared" si="43"/>
        <v>-101.93548387096735</v>
      </c>
      <c r="AF73" s="241">
        <f t="shared" si="54"/>
        <v>0.95752688172043032</v>
      </c>
      <c r="AG73" s="615"/>
    </row>
    <row r="74" spans="1:33" ht="15.75" customHeight="1">
      <c r="A74" s="620" t="s">
        <v>1049</v>
      </c>
      <c r="B74" s="247" t="s">
        <v>32</v>
      </c>
      <c r="C74" s="622" t="s">
        <v>36</v>
      </c>
      <c r="D74" s="623"/>
      <c r="E74" s="29">
        <v>20.36</v>
      </c>
      <c r="F74" s="247">
        <v>2125</v>
      </c>
      <c r="G74" s="236">
        <f t="shared" si="45"/>
        <v>43265</v>
      </c>
      <c r="H74" s="33" t="s">
        <v>57</v>
      </c>
      <c r="I74" s="245">
        <v>17</v>
      </c>
      <c r="J74" s="31">
        <v>2400</v>
      </c>
      <c r="K74" s="12">
        <f t="shared" si="49"/>
        <v>141.1764705882353</v>
      </c>
      <c r="L74" s="245">
        <v>17</v>
      </c>
      <c r="M74" s="13">
        <f t="shared" si="46"/>
        <v>2318.1818181818198</v>
      </c>
      <c r="N74" s="12">
        <f t="shared" si="50"/>
        <v>136.36363636363646</v>
      </c>
      <c r="O74" s="14">
        <f t="shared" si="51"/>
        <v>0</v>
      </c>
      <c r="P74" s="15">
        <f t="shared" si="52"/>
        <v>-4.8128342245988449</v>
      </c>
      <c r="Q74" s="241">
        <f t="shared" si="53"/>
        <v>0.96590909090909149</v>
      </c>
      <c r="R74" s="615"/>
      <c r="S74" s="34">
        <v>0.68472222222222212</v>
      </c>
      <c r="T74" s="34">
        <v>0.72291666666666654</v>
      </c>
      <c r="U74" s="236">
        <f t="shared" si="48"/>
        <v>4.9999999999999822</v>
      </c>
      <c r="V74" s="246">
        <f t="shared" si="47"/>
        <v>54.999999999999964</v>
      </c>
      <c r="W74" s="16"/>
      <c r="X74" s="16"/>
      <c r="Y74" s="19"/>
      <c r="Z74" s="19"/>
      <c r="AA74" s="624"/>
      <c r="AB74" s="625"/>
      <c r="AC74" s="35"/>
      <c r="AD74" s="18"/>
      <c r="AE74" s="14">
        <f t="shared" si="43"/>
        <v>-81.818181818180165</v>
      </c>
      <c r="AF74" s="241">
        <f t="shared" si="54"/>
        <v>0.96590909090909161</v>
      </c>
      <c r="AG74" s="615"/>
    </row>
    <row r="75" spans="1:33" ht="16.5" customHeight="1">
      <c r="A75" s="621" t="s">
        <v>14</v>
      </c>
      <c r="B75" s="29" t="s">
        <v>6</v>
      </c>
      <c r="C75" s="612"/>
      <c r="D75" s="613"/>
      <c r="E75" s="242"/>
      <c r="F75" s="30"/>
      <c r="G75" s="12"/>
      <c r="H75" s="247"/>
      <c r="I75" s="23">
        <v>15.875</v>
      </c>
      <c r="J75" s="31">
        <v>2400</v>
      </c>
      <c r="K75" s="12">
        <f t="shared" si="49"/>
        <v>151.18110236220471</v>
      </c>
      <c r="L75" s="23">
        <v>15.875</v>
      </c>
      <c r="M75" s="13">
        <f>AVERAGE(M67:M74)</f>
        <v>2300.622792698452</v>
      </c>
      <c r="N75" s="12">
        <f t="shared" si="50"/>
        <v>144.9211207999025</v>
      </c>
      <c r="O75" s="14">
        <f t="shared" si="51"/>
        <v>0</v>
      </c>
      <c r="P75" s="15">
        <f t="shared" si="52"/>
        <v>-6.2599815623022153</v>
      </c>
      <c r="Q75" s="241">
        <f t="shared" si="53"/>
        <v>0.95859283029102182</v>
      </c>
      <c r="R75" s="615"/>
      <c r="S75" s="34"/>
      <c r="T75" s="34"/>
      <c r="U75" s="12"/>
      <c r="V75" s="246"/>
      <c r="W75" s="12"/>
      <c r="X75" s="12"/>
      <c r="Y75" s="24">
        <f>SUM(Y67:Y74)</f>
        <v>0</v>
      </c>
      <c r="Z75" s="24">
        <f>SUM(Z67:Z74)</f>
        <v>0</v>
      </c>
      <c r="AA75" s="614"/>
      <c r="AB75" s="614"/>
      <c r="AC75" s="24">
        <v>8</v>
      </c>
      <c r="AD75" s="24">
        <f>SUM(AD67:AD74)</f>
        <v>0</v>
      </c>
      <c r="AE75" s="14">
        <f t="shared" si="43"/>
        <v>-99.377207301547969</v>
      </c>
      <c r="AF75" s="241">
        <f t="shared" si="54"/>
        <v>0.95859283029102171</v>
      </c>
      <c r="AG75" s="615"/>
    </row>
    <row r="76" spans="1:33">
      <c r="D76" s="25"/>
      <c r="E76" s="25"/>
    </row>
  </sheetData>
  <mergeCells count="195">
    <mergeCell ref="AG67:AG75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67:A75"/>
    <mergeCell ref="C67:D67"/>
    <mergeCell ref="R67:R75"/>
    <mergeCell ref="AA67:AB67"/>
    <mergeCell ref="AA72:AB72"/>
    <mergeCell ref="A61:A66"/>
    <mergeCell ref="C61:D61"/>
    <mergeCell ref="R61:R66"/>
    <mergeCell ref="AA61:AB61"/>
    <mergeCell ref="C73:D73"/>
    <mergeCell ref="AA73:AB73"/>
    <mergeCell ref="C74:D74"/>
    <mergeCell ref="AA74:AB74"/>
    <mergeCell ref="C75:D75"/>
    <mergeCell ref="AA75:AB75"/>
    <mergeCell ref="AG61:AG66"/>
    <mergeCell ref="C62:D62"/>
    <mergeCell ref="AA62:AB62"/>
    <mergeCell ref="C63:D63"/>
    <mergeCell ref="AA63:AB63"/>
    <mergeCell ref="C64:D64"/>
    <mergeCell ref="AA57:AB57"/>
    <mergeCell ref="C58:D58"/>
    <mergeCell ref="AA58:AB58"/>
    <mergeCell ref="C59:D59"/>
    <mergeCell ref="AA59:AB59"/>
    <mergeCell ref="C60:D60"/>
    <mergeCell ref="AA60:AB60"/>
    <mergeCell ref="AA64:AB64"/>
    <mergeCell ref="C65:D65"/>
    <mergeCell ref="AA65:AB65"/>
    <mergeCell ref="C66:D66"/>
    <mergeCell ref="AA66:AB66"/>
    <mergeCell ref="A53:A60"/>
    <mergeCell ref="C53:D53"/>
    <mergeCell ref="R53:R60"/>
    <mergeCell ref="AA53:AB53"/>
    <mergeCell ref="AG53:AG60"/>
    <mergeCell ref="C54:D54"/>
    <mergeCell ref="AA54:AB54"/>
    <mergeCell ref="C55:D55"/>
    <mergeCell ref="AA55:AB55"/>
    <mergeCell ref="AA56:AB56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30:A38"/>
    <mergeCell ref="C30:D30"/>
    <mergeCell ref="R30:R38"/>
    <mergeCell ref="AA30:AB30"/>
    <mergeCell ref="AA35:AB35"/>
    <mergeCell ref="C36:D36"/>
    <mergeCell ref="AG30:AG38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6:AB36"/>
    <mergeCell ref="C38:D38"/>
    <mergeCell ref="AA38:AB38"/>
    <mergeCell ref="AG21:AG29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9:D29"/>
    <mergeCell ref="AA29:AB29"/>
    <mergeCell ref="A21:A29"/>
    <mergeCell ref="C21:D21"/>
    <mergeCell ref="R21:R29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4:O72 O60:O61 O75 O5:O9 O12:O14 O20:O58">
    <cfRule type="cellIs" dxfId="701" priority="59" operator="greaterThan">
      <formula>0</formula>
    </cfRule>
  </conditionalFormatting>
  <conditionalFormatting sqref="P5:P7 P64:P65 AE64:AE65 P67:P72 P30:P37 P61 P9 P12:P14 P21:P28 P53:P58 P39:P51 AE5:AE61 AE67:AE75">
    <cfRule type="cellIs" dxfId="700" priority="63" operator="lessThan">
      <formula>0</formula>
    </cfRule>
  </conditionalFormatting>
  <conditionalFormatting sqref="AF64:AF65 Q64:Q72 Q60:Q61 Q75 Q5:Q9 Q12:Q14 Q20:Q58 AF5:AF61 AF67:AF75">
    <cfRule type="cellIs" dxfId="699" priority="60" operator="greaterThan">
      <formula>1</formula>
    </cfRule>
    <cfRule type="cellIs" dxfId="698" priority="61" operator="lessThan">
      <formula>0.8</formula>
    </cfRule>
  </conditionalFormatting>
  <conditionalFormatting sqref="AG13:AG14 R13:R14 AG64 R64:R72 R20:R26 AG20:AG26 AG60:AG61 R60:R61 R75 AG5:AG9 R5:R9 AG29:AG58 R29:R58">
    <cfRule type="cellIs" dxfId="697" priority="65" operator="lessThan">
      <formula>0.8</formula>
    </cfRule>
  </conditionalFormatting>
  <conditionalFormatting sqref="AG48">
    <cfRule type="cellIs" dxfId="696" priority="67" operator="lessThan">
      <formula>0.8</formula>
    </cfRule>
  </conditionalFormatting>
  <conditionalFormatting sqref="AG21:AG26">
    <cfRule type="cellIs" dxfId="695" priority="64" operator="lessThan">
      <formula>0.8</formula>
    </cfRule>
  </conditionalFormatting>
  <conditionalFormatting sqref="AG30">
    <cfRule type="cellIs" dxfId="694" priority="66" operator="lessThan">
      <formula>0.8</formula>
    </cfRule>
  </conditionalFormatting>
  <conditionalFormatting sqref="AG39:AG46">
    <cfRule type="cellIs" dxfId="693" priority="62" operator="lessThan">
      <formula>0.8</formula>
    </cfRule>
  </conditionalFormatting>
  <conditionalFormatting sqref="AE66">
    <cfRule type="cellIs" dxfId="692" priority="58" operator="lessThan">
      <formula>0</formula>
    </cfRule>
  </conditionalFormatting>
  <conditionalFormatting sqref="AF66">
    <cfRule type="cellIs" dxfId="691" priority="56" operator="greaterThan">
      <formula>1</formula>
    </cfRule>
    <cfRule type="cellIs" dxfId="690" priority="57" operator="lessThan">
      <formula>0.8</formula>
    </cfRule>
  </conditionalFormatting>
  <conditionalFormatting sqref="O15:O16">
    <cfRule type="cellIs" dxfId="689" priority="51" operator="greaterThan">
      <formula>0</formula>
    </cfRule>
  </conditionalFormatting>
  <conditionalFormatting sqref="P15:P16">
    <cfRule type="cellIs" dxfId="688" priority="54" operator="lessThan">
      <formula>0</formula>
    </cfRule>
  </conditionalFormatting>
  <conditionalFormatting sqref="Q15:Q16">
    <cfRule type="cellIs" dxfId="687" priority="52" operator="greaterThan">
      <formula>1</formula>
    </cfRule>
    <cfRule type="cellIs" dxfId="686" priority="53" operator="lessThan">
      <formula>0.8</formula>
    </cfRule>
  </conditionalFormatting>
  <conditionalFormatting sqref="R15:R16 AG15:AG16">
    <cfRule type="cellIs" dxfId="685" priority="55" operator="lessThan">
      <formula>0.8</formula>
    </cfRule>
  </conditionalFormatting>
  <conditionalFormatting sqref="O10:O11">
    <cfRule type="cellIs" dxfId="684" priority="47" operator="greaterThan">
      <formula>0</formula>
    </cfRule>
  </conditionalFormatting>
  <conditionalFormatting sqref="P10:P11">
    <cfRule type="cellIs" dxfId="683" priority="50" operator="lessThan">
      <formula>0</formula>
    </cfRule>
  </conditionalFormatting>
  <conditionalFormatting sqref="Q10:Q11">
    <cfRule type="cellIs" dxfId="682" priority="48" operator="greaterThan">
      <formula>1</formula>
    </cfRule>
    <cfRule type="cellIs" dxfId="681" priority="49" operator="lessThan">
      <formula>0.8</formula>
    </cfRule>
  </conditionalFormatting>
  <conditionalFormatting sqref="O59">
    <cfRule type="cellIs" dxfId="680" priority="42" operator="greaterThan">
      <formula>0</formula>
    </cfRule>
  </conditionalFormatting>
  <conditionalFormatting sqref="P59">
    <cfRule type="cellIs" dxfId="679" priority="45" operator="lessThan">
      <formula>0</formula>
    </cfRule>
  </conditionalFormatting>
  <conditionalFormatting sqref="Q59">
    <cfRule type="cellIs" dxfId="678" priority="43" operator="greaterThan">
      <formula>1</formula>
    </cfRule>
    <cfRule type="cellIs" dxfId="677" priority="44" operator="lessThan">
      <formula>0.8</formula>
    </cfRule>
  </conditionalFormatting>
  <conditionalFormatting sqref="R59 AG59">
    <cfRule type="cellIs" dxfId="676" priority="46" operator="lessThan">
      <formula>0.8</formula>
    </cfRule>
  </conditionalFormatting>
  <conditionalFormatting sqref="AG28 R28">
    <cfRule type="cellIs" dxfId="675" priority="41" operator="lessThan">
      <formula>0.8</formula>
    </cfRule>
  </conditionalFormatting>
  <conditionalFormatting sqref="O63">
    <cfRule type="cellIs" dxfId="674" priority="36" operator="greaterThan">
      <formula>0</formula>
    </cfRule>
  </conditionalFormatting>
  <conditionalFormatting sqref="P63 AE63">
    <cfRule type="cellIs" dxfId="673" priority="39" operator="lessThan">
      <formula>0</formula>
    </cfRule>
  </conditionalFormatting>
  <conditionalFormatting sqref="Q63 AF63">
    <cfRule type="cellIs" dxfId="672" priority="37" operator="greaterThan">
      <formula>1</formula>
    </cfRule>
    <cfRule type="cellIs" dxfId="671" priority="38" operator="lessThan">
      <formula>0.8</formula>
    </cfRule>
  </conditionalFormatting>
  <conditionalFormatting sqref="R63 AG63">
    <cfRule type="cellIs" dxfId="670" priority="40" operator="lessThan">
      <formula>0.8</formula>
    </cfRule>
  </conditionalFormatting>
  <conditionalFormatting sqref="O73">
    <cfRule type="cellIs" dxfId="669" priority="31" operator="greaterThan">
      <formula>0</formula>
    </cfRule>
  </conditionalFormatting>
  <conditionalFormatting sqref="P73">
    <cfRule type="cellIs" dxfId="668" priority="34" operator="lessThan">
      <formula>0</formula>
    </cfRule>
  </conditionalFormatting>
  <conditionalFormatting sqref="Q73">
    <cfRule type="cellIs" dxfId="667" priority="32" operator="greaterThan">
      <formula>1</formula>
    </cfRule>
    <cfRule type="cellIs" dxfId="666" priority="33" operator="lessThan">
      <formula>0.8</formula>
    </cfRule>
  </conditionalFormatting>
  <conditionalFormatting sqref="R73">
    <cfRule type="cellIs" dxfId="665" priority="35" operator="lessThan">
      <formula>0.8</formula>
    </cfRule>
  </conditionalFormatting>
  <conditionalFormatting sqref="O17:O18">
    <cfRule type="cellIs" dxfId="664" priority="26" operator="greaterThan">
      <formula>0</formula>
    </cfRule>
  </conditionalFormatting>
  <conditionalFormatting sqref="P17:P18">
    <cfRule type="cellIs" dxfId="663" priority="29" operator="lessThan">
      <formula>0</formula>
    </cfRule>
  </conditionalFormatting>
  <conditionalFormatting sqref="Q17:Q18">
    <cfRule type="cellIs" dxfId="662" priority="27" operator="greaterThan">
      <formula>1</formula>
    </cfRule>
    <cfRule type="cellIs" dxfId="661" priority="28" operator="lessThan">
      <formula>0.8</formula>
    </cfRule>
  </conditionalFormatting>
  <conditionalFormatting sqref="R17:R18 AG17:AG18">
    <cfRule type="cellIs" dxfId="660" priority="30" operator="lessThan">
      <formula>0.8</formula>
    </cfRule>
  </conditionalFormatting>
  <conditionalFormatting sqref="R27 AG27">
    <cfRule type="cellIs" dxfId="659" priority="25" operator="lessThan">
      <formula>0.8</formula>
    </cfRule>
  </conditionalFormatting>
  <conditionalFormatting sqref="AG27">
    <cfRule type="cellIs" dxfId="658" priority="24" operator="lessThan">
      <formula>0.8</formula>
    </cfRule>
  </conditionalFormatting>
  <conditionalFormatting sqref="O62">
    <cfRule type="cellIs" dxfId="657" priority="19" operator="greaterThan">
      <formula>0</formula>
    </cfRule>
  </conditionalFormatting>
  <conditionalFormatting sqref="P62 AE62">
    <cfRule type="cellIs" dxfId="656" priority="22" operator="lessThan">
      <formula>0</formula>
    </cfRule>
  </conditionalFormatting>
  <conditionalFormatting sqref="Q62 AF62">
    <cfRule type="cellIs" dxfId="655" priority="20" operator="greaterThan">
      <formula>1</formula>
    </cfRule>
    <cfRule type="cellIs" dxfId="654" priority="21" operator="lessThan">
      <formula>0.8</formula>
    </cfRule>
  </conditionalFormatting>
  <conditionalFormatting sqref="R62 AG62">
    <cfRule type="cellIs" dxfId="653" priority="23" operator="lessThan">
      <formula>0.8</formula>
    </cfRule>
  </conditionalFormatting>
  <conditionalFormatting sqref="O19">
    <cfRule type="cellIs" dxfId="652" priority="14" operator="greaterThan">
      <formula>0</formula>
    </cfRule>
  </conditionalFormatting>
  <conditionalFormatting sqref="P19">
    <cfRule type="cellIs" dxfId="651" priority="17" operator="lessThan">
      <formula>0</formula>
    </cfRule>
  </conditionalFormatting>
  <conditionalFormatting sqref="Q19">
    <cfRule type="cellIs" dxfId="650" priority="15" operator="greaterThan">
      <formula>1</formula>
    </cfRule>
    <cfRule type="cellIs" dxfId="649" priority="16" operator="lessThan">
      <formula>0.8</formula>
    </cfRule>
  </conditionalFormatting>
  <conditionalFormatting sqref="AG19 R19">
    <cfRule type="cellIs" dxfId="648" priority="18" operator="lessThan">
      <formula>0.8</formula>
    </cfRule>
  </conditionalFormatting>
  <conditionalFormatting sqref="P8">
    <cfRule type="cellIs" dxfId="647" priority="13" operator="lessThan">
      <formula>0</formula>
    </cfRule>
  </conditionalFormatting>
  <conditionalFormatting sqref="P20">
    <cfRule type="cellIs" dxfId="646" priority="12" operator="lessThan">
      <formula>0</formula>
    </cfRule>
  </conditionalFormatting>
  <conditionalFormatting sqref="P29">
    <cfRule type="cellIs" dxfId="645" priority="11" operator="lessThan">
      <formula>0</formula>
    </cfRule>
  </conditionalFormatting>
  <conditionalFormatting sqref="P38">
    <cfRule type="cellIs" dxfId="644" priority="10" operator="lessThan">
      <formula>0</formula>
    </cfRule>
  </conditionalFormatting>
  <conditionalFormatting sqref="P52">
    <cfRule type="cellIs" dxfId="643" priority="9" operator="lessThan">
      <formula>0</formula>
    </cfRule>
  </conditionalFormatting>
  <conditionalFormatting sqref="P60">
    <cfRule type="cellIs" dxfId="642" priority="8" operator="lessThan">
      <formula>0</formula>
    </cfRule>
  </conditionalFormatting>
  <conditionalFormatting sqref="P66">
    <cfRule type="cellIs" dxfId="641" priority="7" operator="lessThan">
      <formula>0</formula>
    </cfRule>
  </conditionalFormatting>
  <conditionalFormatting sqref="P75">
    <cfRule type="cellIs" dxfId="640" priority="6" operator="lessThan">
      <formula>0</formula>
    </cfRule>
  </conditionalFormatting>
  <conditionalFormatting sqref="O74">
    <cfRule type="cellIs" dxfId="639" priority="1" operator="greaterThan">
      <formula>0</formula>
    </cfRule>
  </conditionalFormatting>
  <conditionalFormatting sqref="P74">
    <cfRule type="cellIs" dxfId="638" priority="4" operator="lessThan">
      <formula>0</formula>
    </cfRule>
  </conditionalFormatting>
  <conditionalFormatting sqref="Q74">
    <cfRule type="cellIs" dxfId="637" priority="2" operator="greaterThan">
      <formula>1</formula>
    </cfRule>
    <cfRule type="cellIs" dxfId="636" priority="3" operator="lessThan">
      <formula>0.8</formula>
    </cfRule>
  </conditionalFormatting>
  <conditionalFormatting sqref="R74">
    <cfRule type="cellIs" dxfId="635" priority="5" operator="lessThan">
      <formula>0.8</formula>
    </cfRule>
  </conditionalFormatting>
  <dataValidations count="1">
    <dataValidation type="list" allowBlank="1" showInputMessage="1" showErrorMessage="1" sqref="AB8 AA5:AB7 AB65 AA8:AA65 AB10:AB61 AA66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851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852</v>
      </c>
      <c r="C3" s="601" t="str">
        <f>TEXT('0609 4度C'!A2,"yyyy.mm.ddaaaa")</f>
        <v>2026.06.09星期二</v>
      </c>
      <c r="D3" s="602"/>
      <c r="E3" s="39" t="s">
        <v>853</v>
      </c>
      <c r="F3" s="603">
        <f>'0609 4度C'!D1</f>
        <v>216926</v>
      </c>
      <c r="G3" s="604"/>
      <c r="H3" s="39" t="s">
        <v>854</v>
      </c>
      <c r="I3" s="605">
        <f>'0609 4度C'!F1</f>
        <v>7575353.2599999998</v>
      </c>
      <c r="J3" s="606"/>
      <c r="K3" s="40"/>
      <c r="L3" s="41"/>
      <c r="M3" s="42"/>
      <c r="N3" s="42"/>
    </row>
    <row r="4" spans="2:17" ht="28.5" customHeight="1">
      <c r="B4" s="607" t="s">
        <v>855</v>
      </c>
      <c r="C4" s="593" t="s">
        <v>856</v>
      </c>
      <c r="D4" s="594"/>
      <c r="E4" s="610" t="s">
        <v>857</v>
      </c>
      <c r="F4" s="611"/>
      <c r="G4" s="610" t="s">
        <v>858</v>
      </c>
      <c r="H4" s="611"/>
      <c r="I4" s="610" t="s">
        <v>859</v>
      </c>
      <c r="J4" s="611"/>
      <c r="K4" s="591" t="s">
        <v>860</v>
      </c>
      <c r="L4" s="592"/>
      <c r="M4" s="592" t="s">
        <v>861</v>
      </c>
      <c r="N4" s="592"/>
    </row>
    <row r="5" spans="2:17" ht="28.5" customHeight="1">
      <c r="B5" s="608"/>
      <c r="C5" s="593" t="s">
        <v>862</v>
      </c>
      <c r="D5" s="594"/>
      <c r="E5" s="593" t="s">
        <v>863</v>
      </c>
      <c r="F5" s="594"/>
      <c r="G5" s="595" t="s">
        <v>864</v>
      </c>
      <c r="H5" s="596"/>
      <c r="I5" s="597" t="s">
        <v>865</v>
      </c>
      <c r="J5" s="598"/>
      <c r="K5" s="43" t="s">
        <v>866</v>
      </c>
      <c r="L5" s="44" t="s">
        <v>867</v>
      </c>
      <c r="M5" s="43" t="s">
        <v>866</v>
      </c>
      <c r="N5" s="44" t="s">
        <v>868</v>
      </c>
    </row>
    <row r="6" spans="2:17" ht="28.5" customHeight="1">
      <c r="B6" s="608"/>
      <c r="C6" s="593" t="s">
        <v>58</v>
      </c>
      <c r="D6" s="594"/>
      <c r="E6" s="585">
        <f>AVERAGE(D13:M13)</f>
        <v>153.54550353999431</v>
      </c>
      <c r="F6" s="586">
        <f>AVERAGE(D31:O31,D13:J13)</f>
        <v>160.18882022848567</v>
      </c>
      <c r="G6" s="587">
        <f>AVERAGE(D13:J13)</f>
        <v>160.18882022848567</v>
      </c>
      <c r="H6" s="588"/>
      <c r="I6" s="587">
        <f>AVERAGE(K13:M13)</f>
        <v>138.04443126684779</v>
      </c>
      <c r="J6" s="588"/>
      <c r="K6" s="589">
        <f>'0609 4度C'!Y2</f>
        <v>0</v>
      </c>
      <c r="L6" s="574">
        <f>'0609 4度C'!Z2</f>
        <v>0</v>
      </c>
      <c r="M6" s="590">
        <f>'0609 4度C'!AC2</f>
        <v>67</v>
      </c>
      <c r="N6" s="574">
        <f>'0609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147.15639355555905</v>
      </c>
      <c r="F7" s="578">
        <f>AVERAGE(D32:O32,D14:J14)</f>
        <v>153.7213047735934</v>
      </c>
      <c r="G7" s="579">
        <f>AVERAGE(D14:J14)</f>
        <v>153.7213047735934</v>
      </c>
      <c r="H7" s="580"/>
      <c r="I7" s="579">
        <f>AVERAGE(K14:M14)</f>
        <v>131.83826738014554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0.95722806701861207</v>
      </c>
      <c r="F8" s="582">
        <f>AVERAGE(D15:J15,D33:O33)</f>
        <v>0.9581985903933059</v>
      </c>
      <c r="G8" s="583">
        <f>AVERAGE(D15:J15)</f>
        <v>0.9581985903933059</v>
      </c>
      <c r="H8" s="584"/>
      <c r="I8" s="583">
        <f>AVERAGE(K15:M15)</f>
        <v>0.95496351247765954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869</v>
      </c>
      <c r="N9" s="42"/>
      <c r="O9" s="42"/>
      <c r="P9" s="42"/>
      <c r="Q9" s="42"/>
    </row>
    <row r="10" spans="2:17" ht="30" customHeight="1">
      <c r="B10" s="557" t="s">
        <v>870</v>
      </c>
      <c r="C10" s="558"/>
      <c r="D10" s="559" t="s">
        <v>871</v>
      </c>
      <c r="E10" s="560"/>
      <c r="F10" s="560"/>
      <c r="G10" s="560"/>
      <c r="H10" s="560"/>
      <c r="I10" s="560"/>
      <c r="J10" s="561"/>
      <c r="K10" s="562" t="s">
        <v>872</v>
      </c>
      <c r="L10" s="563"/>
      <c r="M10" s="564"/>
      <c r="P10" s="48"/>
      <c r="Q10" s="48"/>
    </row>
    <row r="11" spans="2:17" ht="17.25" customHeight="1">
      <c r="B11" s="565" t="s">
        <v>873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874</v>
      </c>
      <c r="C13" s="55" t="s">
        <v>875</v>
      </c>
      <c r="D13" s="56">
        <f>SUMIFS('0609 4度C'!$K:$K,'0609 4度C'!$A:$A,"新豐6線",'0609 4度C'!$B:$B,"平均")</f>
        <v>129.03225806451613</v>
      </c>
      <c r="E13" s="57">
        <f>SUMIFS('0609 4度C'!$K:$K,'0609 4度C'!$A:$A,"新豐2線",'0609 4度C'!$B:$B,"平均")</f>
        <v>83.333333333333329</v>
      </c>
      <c r="F13" s="58">
        <f>SUMIFS('0609 4度C'!$K:$K,'0609 4度C'!$A:$A,"新豐5線",'0609 4度C'!$B:$B,"平均")</f>
        <v>90.277777777777771</v>
      </c>
      <c r="G13" s="58">
        <f>SUMIFS('0609 4度C'!$K:$K,'0609 4度C'!$A:$A,"新豐7線",'0609 4度C'!$B:$B,"平均")</f>
        <v>131.35593220338984</v>
      </c>
      <c r="H13" s="58">
        <f>SUMIFS('0609 4度C'!$K:$K,'0609 4度C'!$A:$A,"新豐3線",'0609 4度C'!$B:$B,"平均")</f>
        <v>255.81395348837211</v>
      </c>
      <c r="I13" s="58">
        <f>SUMIFS('0609 4度C'!$K:$K,'0609 4度C'!$A:$A,"新豐1線",'0609 4度C'!$B:$B,"平均")</f>
        <v>112.35955056179775</v>
      </c>
      <c r="J13" s="59">
        <f>SUMIFS('0609 4度C'!$K:$K,'0609 4度C'!$A:$A,"新豐10線",'0609 4度C'!$B:$B,"平均")</f>
        <v>319.14893617021278</v>
      </c>
      <c r="K13" s="60">
        <f>SUMIFS('0609 4度C'!$K:$K,'0609 4度C'!$A:$A,"新豐8線",'0609 4度C'!$B:$B,"平均")</f>
        <v>138.12949640287769</v>
      </c>
      <c r="L13" s="61">
        <f>SUMIFS('0609 4度C'!$K:$K,'0609 4度C'!$A:$A,"新豐9線",'0609 4度C'!$B:$B,"平均")</f>
        <v>124.822695035461</v>
      </c>
      <c r="M13" s="59">
        <f>SUMIFS('0609 4度C'!$K:$K,'0609 4度C'!$A:$A,"新豐4線",'0609 4度C'!$B:$B,"平均")</f>
        <v>151.18110236220471</v>
      </c>
    </row>
    <row r="14" spans="2:17" ht="39.6" customHeight="1">
      <c r="B14" s="570"/>
      <c r="C14" s="62" t="s">
        <v>876</v>
      </c>
      <c r="D14" s="63">
        <f>SUMIFS('0609 4度C'!$N:$N,'0609 4度C'!$A:$A,"新豐6線",'0609 4度C'!$B:$B,"平均")</f>
        <v>123.45221581488303</v>
      </c>
      <c r="E14" s="64">
        <f>SUMIFS('0609 4度C'!$N:$N,'0609 4度C'!$A:$A,"新豐2線",'0609 4度C'!$B:$B,"平均")</f>
        <v>79.544288624202892</v>
      </c>
      <c r="F14" s="64">
        <f>SUMIFS('0609 4度C'!$N:$N,'0609 4度C'!$A:$A,"新豐5線",'0609 4度C'!$B:$B,"平均")</f>
        <v>86.461858001753654</v>
      </c>
      <c r="G14" s="64">
        <f>SUMIFS('0609 4度C'!$N:$N,'0609 4度C'!$A:$A,"新豐7線",'0609 4度C'!$B:$B,"平均")</f>
        <v>125.70431282969227</v>
      </c>
      <c r="H14" s="64">
        <f>SUMIFS('0609 4度C'!$N:$N,'0609 4度C'!$A:$A,"新豐3線",'0609 4度C'!$B:$B,"平均")</f>
        <v>245.09543398854777</v>
      </c>
      <c r="I14" s="64">
        <f>SUMIFS('0609 4度C'!$N:$N,'0609 4度C'!$A:$A,"新豐1線",'0609 4度C'!$B:$B,"平均")</f>
        <v>107.5986709823911</v>
      </c>
      <c r="J14" s="65">
        <f>SUMIFS('0609 4度C'!$N:$N,'0609 4度C'!$A:$A,"新豐10線",'0609 4度C'!$B:$B,"平均")</f>
        <v>308.19235317368305</v>
      </c>
      <c r="K14" s="66">
        <f>SUMIFS('0609 4度C'!$N:$N,'0609 4度C'!$A:$A,"新豐8線",'0609 4度C'!$B:$B,"平均")</f>
        <v>131.8908185907413</v>
      </c>
      <c r="L14" s="67">
        <f>SUMIFS('0609 4度C'!$N:$N,'0609 4度C'!$A:$A,"新豐9線",'0609 4度C'!$B:$B,"平均")</f>
        <v>119.05462664975329</v>
      </c>
      <c r="M14" s="65">
        <f>SUMIFS('0609 4度C'!$N:$N,'0609 4度C'!$A:$A,"新豐4線",'0609 4度C'!$B:$B,"平均")</f>
        <v>144.56935689994205</v>
      </c>
    </row>
    <row r="15" spans="2:17" ht="40.15" customHeight="1">
      <c r="B15" s="571"/>
      <c r="C15" s="68" t="s">
        <v>877</v>
      </c>
      <c r="D15" s="69">
        <f t="shared" ref="D15:M15" si="0">D14/D13</f>
        <v>0.95675467256534352</v>
      </c>
      <c r="E15" s="70">
        <f t="shared" si="0"/>
        <v>0.95453146349043472</v>
      </c>
      <c r="F15" s="70">
        <f t="shared" si="0"/>
        <v>0.95773135017327127</v>
      </c>
      <c r="G15" s="70">
        <f t="shared" si="0"/>
        <v>0.95697476863894748</v>
      </c>
      <c r="H15" s="70">
        <f t="shared" si="0"/>
        <v>0.95810033286432306</v>
      </c>
      <c r="I15" s="70">
        <f t="shared" si="0"/>
        <v>0.95762817174328085</v>
      </c>
      <c r="J15" s="71">
        <f t="shared" si="0"/>
        <v>0.96566937327754021</v>
      </c>
      <c r="K15" s="69">
        <f t="shared" si="0"/>
        <v>0.95483457208922096</v>
      </c>
      <c r="L15" s="70">
        <f t="shared" si="0"/>
        <v>0.9537899066826826</v>
      </c>
      <c r="M15" s="71">
        <f t="shared" si="0"/>
        <v>0.95626605866107506</v>
      </c>
    </row>
    <row r="16" spans="2:17" ht="17.25" customHeight="1">
      <c r="B16" s="572" t="s">
        <v>878</v>
      </c>
      <c r="C16" s="72" t="s">
        <v>879</v>
      </c>
      <c r="D16" s="73">
        <f>VLOOKUP("新豐6線",'0609 4度C'!$A:$T,19,0)</f>
        <v>0.70833333333333337</v>
      </c>
      <c r="E16" s="74">
        <f>VLOOKUP("新豐2線",'0609 4度C'!$A:$T,19,0)</f>
        <v>8.3333333333333329E-2</v>
      </c>
      <c r="F16" s="74">
        <f>VLOOKUP("新豐5線",'0609 4度C'!$A:$T,19,0)</f>
        <v>8.3333333333333329E-2</v>
      </c>
      <c r="G16" s="74">
        <f>VLOOKUP("新豐7線",'0609 4度C'!$A:$T,19,0)</f>
        <v>0.20833333333333334</v>
      </c>
      <c r="H16" s="74">
        <f>VLOOKUP("新豐3線",'0609 4度C'!$A:$T,19,0)</f>
        <v>8.3333333333333329E-2</v>
      </c>
      <c r="I16" s="74">
        <f>VLOOKUP("新豐1線",'0609 4度C'!$A:$T,19,0)</f>
        <v>0.16666666666666666</v>
      </c>
      <c r="J16" s="75">
        <f>VLOOKUP("新豐10線",'0609 4度C'!$A:$T,19,0)</f>
        <v>0.20833333333333334</v>
      </c>
      <c r="K16" s="76">
        <f>VLOOKUP("新豐8線",'0609 4度C'!$A:$T,19,0)</f>
        <v>8.3333333333333329E-2</v>
      </c>
      <c r="L16" s="77">
        <f>VLOOKUP("新豐9線",'0609 4度C'!$A:$T,19,0)</f>
        <v>8.3333333333333329E-2</v>
      </c>
      <c r="M16" s="78">
        <f>VLOOKUP("新豐4線",'0609 4度C'!$A:$T,19,0)</f>
        <v>8.3333333333333329E-2</v>
      </c>
    </row>
    <row r="17" spans="2:13" ht="17.25" customHeight="1">
      <c r="B17" s="573"/>
      <c r="C17" s="72" t="s">
        <v>880</v>
      </c>
      <c r="D17" s="76">
        <f>LOOKUP(2,1/(('0609 4度C'!$A:$A="新豐6線")*('0609 4度C'!$T:$T&lt;&gt;"")),'0609 4度C'!$T:$T)</f>
        <v>0.91805555555555551</v>
      </c>
      <c r="E17" s="74">
        <f>LOOKUP(2,1/(('0609 4度C'!$A:$A="新豐2線")*('0609 4度C'!$T:$T&lt;&gt;"")),'0609 4度C'!$T:$T)</f>
        <v>0.6201388888888888</v>
      </c>
      <c r="F17" s="74">
        <f>LOOKUP(2,1/(('0609 4度C'!$A:$A="新豐5線")*('0609 4度C'!$T:$T&lt;&gt;"")),'0609 4度C'!$T:$T)</f>
        <v>0.83055555555555549</v>
      </c>
      <c r="G17" s="74">
        <f>LOOKUP(2,1/(('0609 4度C'!$A:$A="新豐7線")*('0609 4度C'!$T:$T&lt;&gt;"")),'0609 4度C'!$T:$T)</f>
        <v>0.93680555555555556</v>
      </c>
      <c r="H17" s="74">
        <f>LOOKUP(2,1/(('0609 4度C'!$A:$A="新豐3線")*('0609 4度C'!$T:$T&lt;&gt;"")),'0609 4度C'!$T:$T)</f>
        <v>0.40972222222222221</v>
      </c>
      <c r="I17" s="74">
        <f>LOOKUP(2,1/(('0609 4度C'!$A:$A="新豐1線")*('0609 4度C'!$T:$T&lt;&gt;"")),'0609 4度C'!$T:$T)</f>
        <v>0.92569444444444449</v>
      </c>
      <c r="J17" s="75">
        <f>LOOKUP(2,1/(('0609 4度C'!$A:$A="新豐10線")*('0609 4度C'!$T:$T&lt;&gt;"")),'0609 4度C'!$T:$T)</f>
        <v>0.41249999999999998</v>
      </c>
      <c r="K17" s="73">
        <f>LOOKUP(2,1/(('0609 4度C'!$A:$A="新豐8線")*('0609 4度C'!$T:$T&lt;&gt;"")),'0609 4度C'!$T:$T)</f>
        <v>0.77916666666666656</v>
      </c>
      <c r="L17" s="74">
        <f>LOOKUP(2,1/(('0609 4度C'!$A:$A="新豐9線")*('0609 4度C'!$T:$T&lt;&gt;"")),'0609 4度C'!$T:$T)</f>
        <v>0.76388888888888873</v>
      </c>
      <c r="M17" s="75">
        <f>LOOKUP(2,1/(('0609 4度C'!$A:$A="新豐4線")*('0609 4度C'!$T:$T&lt;&gt;"")),'0609 4度C'!$T:$T)</f>
        <v>0.77986111111111089</v>
      </c>
    </row>
    <row r="18" spans="2:13" ht="17.25" customHeight="1">
      <c r="B18" s="551" t="s">
        <v>881</v>
      </c>
      <c r="C18" s="79" t="s">
        <v>882</v>
      </c>
      <c r="D18" s="80">
        <f>SUMIFS('0609 4度C'!$Y:$Y,'0609 4度C'!$A:$A,"新豐6線",'0609 4度C'!$B:$B,"平均")</f>
        <v>0</v>
      </c>
      <c r="E18" s="81">
        <f>SUMIFS('0609 4度C'!$Y:$Y,'0609 4度C'!$A:$A,"新豐2線",'0609 4度C'!$B:$B,"平均")</f>
        <v>0</v>
      </c>
      <c r="F18" s="81">
        <f>SUMIFS('0609 4度C'!$Y:$Y,'0609 4度C'!$A:$A,"新豐5線",'0609 4度C'!$B:$B,"平均")</f>
        <v>0</v>
      </c>
      <c r="G18" s="81">
        <f>SUMIFS('0609 4度C'!$Y:$Y,'0609 4度C'!$A:$A,"新豐7線",'0609 4度C'!$B:$B,"平均")</f>
        <v>0</v>
      </c>
      <c r="H18" s="81">
        <f>SUMIFS('0609 4度C'!$Y:$Y,'0609 4度C'!$A:$A,"新豐3線",'0609 4度C'!$B:$B,"平均")</f>
        <v>0</v>
      </c>
      <c r="I18" s="81">
        <f>SUMIFS('0609 4度C'!$Y:$Y,'0609 4度C'!$A:$A,"新豐1線",'0609 4度C'!$B:$B,"平均")</f>
        <v>0</v>
      </c>
      <c r="J18" s="82">
        <f>SUMIFS('0609 4度C'!$Y:$Y,'0609 4度C'!$A:$A,"新豐10線",'0609 4度C'!$B:$B,"平均")</f>
        <v>0</v>
      </c>
      <c r="K18" s="83">
        <f>SUMIFS('0609 4度C'!$Y:$Y,'0609 4度C'!$A:$A,"新豐8線",'0609 4度C'!$B:$B,"平均")</f>
        <v>0</v>
      </c>
      <c r="L18" s="81">
        <f>SUMIFS('0609 4度C'!$Y:$Y,'0609 4度C'!$A:$A,"新豐9線",'0609 4度C'!$B:$B,"平均")</f>
        <v>0</v>
      </c>
      <c r="M18" s="82">
        <f>SUMIFS('0609 4度C'!$Y:$Y,'0609 4度C'!$A:$A,"新豐4線",'0609 4度C'!$B:$B,"平均")</f>
        <v>0</v>
      </c>
    </row>
    <row r="19" spans="2:13" ht="17.25" customHeight="1">
      <c r="B19" s="552"/>
      <c r="C19" s="79" t="s">
        <v>883</v>
      </c>
      <c r="D19" s="80">
        <f>SUMIFS('0609 4度C'!$Z:$Z,'0609 4度C'!$A:$A,"新豐6線",'0609 4度C'!$B:$B,"平均")</f>
        <v>0</v>
      </c>
      <c r="E19" s="81">
        <f>SUMIFS('0609 4度C'!$Z:$Z,'0609 4度C'!$A:$A,"新豐2線",'0609 4度C'!$B:$B,"平均")</f>
        <v>0</v>
      </c>
      <c r="F19" s="81">
        <f>SUMIFS('0609 4度C'!$Z:$Z,'0609 4度C'!$A:$A,"新豐5線",'0609 4度C'!$B:$B,"平均")</f>
        <v>0</v>
      </c>
      <c r="G19" s="81">
        <f>SUMIFS('0609 4度C'!$Z:$Z,'0609 4度C'!$A:$A,"新豐7線",'0609 4度C'!$B:$B,"平均")</f>
        <v>0</v>
      </c>
      <c r="H19" s="81">
        <f>SUMIFS('0609 4度C'!$Z:$Z,'0609 4度C'!$A:$A,"新豐3線",'0609 4度C'!$B:$B,"平均")</f>
        <v>0</v>
      </c>
      <c r="I19" s="81">
        <f>SUMIFS('0609 4度C'!$Z:$Z,'0609 4度C'!$A:$A,"新豐1線",'0609 4度C'!$B:$B,"平均")</f>
        <v>0</v>
      </c>
      <c r="J19" s="82">
        <f>SUMIFS('0609 4度C'!$Z:$Z,'0609 4度C'!$A:$A,"新豐10線",'0609 4度C'!$B:$B,"平均")</f>
        <v>0</v>
      </c>
      <c r="K19" s="83">
        <f>SUMIFS('0609 4度C'!$Z:$Z,'0609 4度C'!$A:$A,"新豐8線",'0609 4度C'!$B:$B,"平均")</f>
        <v>0</v>
      </c>
      <c r="L19" s="81">
        <f>SUMIFS('0609 4度C'!$Z:$Z,'0609 4度C'!$A:$A,"新豐9線",'0609 4度C'!$B:$B,"平均")</f>
        <v>0</v>
      </c>
      <c r="M19" s="82">
        <f>SUMIFS('0609 4度C'!$Z:$Z,'0609 4度C'!$A:$A,"新豐4線",'0609 4度C'!$B:$B,"平均")</f>
        <v>0</v>
      </c>
    </row>
    <row r="20" spans="2:13" ht="17.25" customHeight="1">
      <c r="B20" s="551" t="s">
        <v>884</v>
      </c>
      <c r="C20" s="79" t="s">
        <v>882</v>
      </c>
      <c r="D20" s="80">
        <f>SUMIFS('0609 4度C'!$AC:$AC,'0609 4度C'!$A:$A,"新豐6線",'0609 4度C'!$B:$B,"平均")</f>
        <v>4</v>
      </c>
      <c r="E20" s="81">
        <f>SUMIFS('0609 4度C'!$AC:$AC,'0609 4度C'!$A:$A,"新豐2線",'0609 4度C'!$B:$B,"平均")</f>
        <v>4</v>
      </c>
      <c r="F20" s="81">
        <f>SUMIFS('0609 4度C'!$AC:$AC,'0609 4度C'!$A:$A,"新豐5線",'0609 4度C'!$B:$B,"平均")</f>
        <v>8</v>
      </c>
      <c r="G20" s="81">
        <f>SUMIFS('0609 4度C'!$AC:$AC,'0609 4度C'!$A:$A,"新豐7線",'0609 4度C'!$B:$B,"平均")</f>
        <v>8</v>
      </c>
      <c r="H20" s="81">
        <f>SUMIFS('0609 4度C'!$AC:$AC,'0609 4度C'!$A:$A,"新豐3線",'0609 4度C'!$B:$B,"平均")</f>
        <v>4</v>
      </c>
      <c r="I20" s="81">
        <f>SUMIFS('0609 4度C'!$AC:$AC,'0609 4度C'!$A:$A,"新豐1線",'0609 4度C'!$B:$B,"平均")</f>
        <v>10</v>
      </c>
      <c r="J20" s="82">
        <f>SUMIFS('0609 4度C'!$AC:$AC,'0609 4度C'!$A:$A,"新豐10線",'0609 4度C'!$B:$B,"平均")</f>
        <v>5</v>
      </c>
      <c r="K20" s="83">
        <f>SUMIFS('0609 4度C'!$AC:$AC,'0609 4度C'!$A:$A,"新豐8線",'0609 4度C'!$B:$B,"平均")</f>
        <v>8</v>
      </c>
      <c r="L20" s="81">
        <f>SUMIFS('0609 4度C'!$AC:$AC,'0609 4度C'!$A:$A,"新豐9線",'0609 4度C'!$B:$B,"平均")</f>
        <v>8</v>
      </c>
      <c r="M20" s="82">
        <f>SUMIFS('0609 4度C'!$AC:$AC,'0609 4度C'!$A:$A,"新豐4線",'0609 4度C'!$B:$B,"平均")</f>
        <v>8</v>
      </c>
    </row>
    <row r="21" spans="2:13" ht="17.25" customHeight="1">
      <c r="B21" s="552"/>
      <c r="C21" s="79" t="s">
        <v>885</v>
      </c>
      <c r="D21" s="80">
        <f>SUMIFS('0609 4度C'!$AD:$AD,'0609 4度C'!$A:$A,"新豐6線",'0609 4度C'!$B:$B,"平均")</f>
        <v>0</v>
      </c>
      <c r="E21" s="81">
        <f>SUMIFS('0609 4度C'!$AD:$AD,'0609 4度C'!$A:$A,"新豐2線",'0609 4度C'!$B:$B,"平均")</f>
        <v>0</v>
      </c>
      <c r="F21" s="81">
        <f>SUMIFS('0609 4度C'!$AD:$AD,'0609 4度C'!$A:$A,"新豐5線",'0609 4度C'!$B:$B,"平均")</f>
        <v>0</v>
      </c>
      <c r="G21" s="81">
        <f>SUMIFS('0609 4度C'!$AD:$AD,'0609 4度C'!$A:$A,"新豐7線",'0609 4度C'!$B:$B,"平均")</f>
        <v>0</v>
      </c>
      <c r="H21" s="81">
        <f>SUMIFS('0609 4度C'!$AD:$AD,'0609 4度C'!$A:$A,"新豐3線",'0609 4度C'!$B:$B,"平均")</f>
        <v>0</v>
      </c>
      <c r="I21" s="81">
        <f>SUMIFS('0609 4度C'!$AD:$AD,'0609 4度C'!$A:$A,"新豐1線",'0609 4度C'!$B:$B,"平均")</f>
        <v>0</v>
      </c>
      <c r="J21" s="82">
        <f>SUMIFS('0609 4度C'!$AD:$AD,'0609 4度C'!$A:$A,"新豐10線",'0609 4度C'!$B:$B,"平均")</f>
        <v>0</v>
      </c>
      <c r="K21" s="83">
        <f>SUMIFS('0609 4度C'!$AD:$AD,'0609 4度C'!$A:$A,"新豐8線",'0609 4度C'!$B:$B,"平均")</f>
        <v>0</v>
      </c>
      <c r="L21" s="81">
        <f>SUMIFS('0609 4度C'!$AD:$AD,'0609 4度C'!$A:$A,"新豐9線",'0609 4度C'!$B:$B,"平均")</f>
        <v>0</v>
      </c>
      <c r="M21" s="82">
        <f>SUMIFS('0609 4度C'!$AD:$AD,'0609 4度C'!$A:$A,"新豐4線",'0609 4度C'!$B:$B,"平均")</f>
        <v>0</v>
      </c>
    </row>
    <row r="22" spans="2:13" ht="17.25" customHeight="1">
      <c r="B22" s="553" t="s">
        <v>886</v>
      </c>
      <c r="C22" s="554"/>
      <c r="D22" s="84">
        <f>SUMIFS('0609 4度C'!$I:$I,'0609 4度C'!$A:$A,"新豐6線",'0609 4度C'!$B:$B,"平均")</f>
        <v>15.5</v>
      </c>
      <c r="E22" s="85">
        <f>SUMIFS('0609 4度C'!$I:$I,'0609 4度C'!$A:$A,"新豐2線",'0609 4度C'!$B:$B,"平均")</f>
        <v>18</v>
      </c>
      <c r="F22" s="85">
        <f>SUMIFS('0609 4度C'!$I:$I,'0609 4度C'!$A:$A,"新豐5線",'0609 4度C'!$B:$B,"平均")</f>
        <v>18</v>
      </c>
      <c r="G22" s="85">
        <f>SUMIFS('0609 4度C'!$I:$I,'0609 4度C'!$A:$A,"新豐7線",'0609 4度C'!$B:$B,"平均")</f>
        <v>14.75</v>
      </c>
      <c r="H22" s="85">
        <f>SUMIFS('0609 4度C'!$I:$I,'0609 4度C'!$A:$A,"新豐3線",'0609 4度C'!$B:$B,"平均")</f>
        <v>10.75</v>
      </c>
      <c r="I22" s="85">
        <f>SUMIFS('0609 4度C'!$I:$I,'0609 4度C'!$A:$A,"新豐1線",'0609 4度C'!$B:$B,"平均")</f>
        <v>17.8</v>
      </c>
      <c r="J22" s="86">
        <f>SUMIFS('0609 4度C'!$I:$I,'0609 4度C'!$A:$A,"新豐10線",'0609 4度C'!$B:$B,"平均")</f>
        <v>9.4</v>
      </c>
      <c r="K22" s="84">
        <f>SUMIFS('0609 4度C'!$I:$I,'0609 4度C'!$A:$A,"新豐8線",'0609 4度C'!$B:$B,"平均")</f>
        <v>17.375</v>
      </c>
      <c r="L22" s="85">
        <f>SUMIFS('0609 4度C'!$I:$I,'0609 4度C'!$A:$A,"新豐9線",'0609 4度C'!$B:$B,"平均")</f>
        <v>17.625</v>
      </c>
      <c r="M22" s="86">
        <f>SUMIFS('0609 4度C'!$I:$I,'0609 4度C'!$A:$A,"新豐4線",'0609 4度C'!$B:$B,"平均")</f>
        <v>15.875</v>
      </c>
    </row>
    <row r="23" spans="2:13" ht="17.25" customHeight="1">
      <c r="B23" s="553" t="s">
        <v>887</v>
      </c>
      <c r="C23" s="554"/>
      <c r="D23" s="87" t="s">
        <v>71</v>
      </c>
      <c r="E23" s="88" t="s">
        <v>72</v>
      </c>
      <c r="F23" s="88" t="s">
        <v>888</v>
      </c>
      <c r="G23" s="88" t="s">
        <v>888</v>
      </c>
      <c r="H23" s="88" t="s">
        <v>73</v>
      </c>
      <c r="I23" s="88" t="s">
        <v>71</v>
      </c>
      <c r="J23" s="89" t="s">
        <v>73</v>
      </c>
      <c r="K23" s="87" t="s">
        <v>889</v>
      </c>
      <c r="L23" s="88" t="s">
        <v>889</v>
      </c>
      <c r="M23" s="89" t="s">
        <v>889</v>
      </c>
    </row>
    <row r="24" spans="2:13" ht="17.25" customHeight="1">
      <c r="B24" s="553" t="s">
        <v>890</v>
      </c>
      <c r="C24" s="554"/>
      <c r="D24" s="87"/>
      <c r="E24" s="88"/>
      <c r="F24" s="88" t="s">
        <v>891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892</v>
      </c>
      <c r="C25" s="556"/>
      <c r="D25" s="90"/>
      <c r="E25" s="91" t="s">
        <v>893</v>
      </c>
      <c r="F25" s="549" t="s">
        <v>894</v>
      </c>
      <c r="G25" s="550"/>
      <c r="H25" s="91" t="s">
        <v>322</v>
      </c>
      <c r="I25" s="91" t="s">
        <v>895</v>
      </c>
      <c r="J25" s="92" t="s">
        <v>322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3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2"/>
  <sheetViews>
    <sheetView zoomScale="80" zoomScaleNormal="80" workbookViewId="0">
      <pane ySplit="4" topLeftCell="A29" activePane="bottomLeft" state="frozen"/>
      <selection activeCell="G9" sqref="G9"/>
      <selection pane="bottomLeft" activeCell="G9" sqref="G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896</v>
      </c>
      <c r="B1" s="1"/>
      <c r="C1" s="2" t="s">
        <v>897</v>
      </c>
      <c r="D1" s="3">
        <f>SUM(F5:F81)</f>
        <v>216926</v>
      </c>
      <c r="E1" s="226" t="s">
        <v>898</v>
      </c>
      <c r="F1" s="1">
        <f>SUM(G5:G81)</f>
        <v>7575353.2599999998</v>
      </c>
      <c r="G1" s="1" t="s">
        <v>899</v>
      </c>
      <c r="H1" s="4">
        <f>L9+L14+L55+L66+L23+L72+L41+L50+L32+L81</f>
        <v>155.07499999999999</v>
      </c>
      <c r="I1" s="663" t="s">
        <v>900</v>
      </c>
      <c r="J1" s="663"/>
      <c r="K1" s="663"/>
      <c r="L1" s="663" t="s">
        <v>901</v>
      </c>
      <c r="M1" s="663"/>
      <c r="N1" s="663"/>
      <c r="O1" s="663" t="s">
        <v>902</v>
      </c>
      <c r="P1" s="663"/>
      <c r="Q1" s="663"/>
      <c r="R1" s="663"/>
      <c r="S1" s="663" t="s">
        <v>903</v>
      </c>
      <c r="T1" s="663"/>
      <c r="U1" s="663"/>
      <c r="V1" s="663"/>
      <c r="W1" s="663"/>
      <c r="X1" s="663"/>
      <c r="Y1" s="5" t="s">
        <v>904</v>
      </c>
      <c r="Z1" s="6" t="s">
        <v>905</v>
      </c>
      <c r="AA1" s="664" t="s">
        <v>906</v>
      </c>
      <c r="AB1" s="664"/>
      <c r="AC1" s="188" t="s">
        <v>904</v>
      </c>
      <c r="AD1" s="6" t="s">
        <v>907</v>
      </c>
      <c r="AE1" s="663" t="s">
        <v>908</v>
      </c>
      <c r="AF1" s="665"/>
      <c r="AG1" s="665"/>
    </row>
    <row r="2" spans="1:33" ht="26.25" customHeight="1">
      <c r="A2" s="27">
        <v>46182</v>
      </c>
      <c r="B2" s="28" t="s">
        <v>238</v>
      </c>
      <c r="C2" s="2" t="s">
        <v>909</v>
      </c>
      <c r="D2" s="8">
        <f>AVERAGE(N9,N14,N55,N66,N23,N72,N32,N41,N50,N81)</f>
        <v>147.15639355555902</v>
      </c>
      <c r="E2" s="9" t="s">
        <v>0</v>
      </c>
      <c r="F2" s="10">
        <f>F1/D1</f>
        <v>34.92137069784166</v>
      </c>
      <c r="G2" s="1" t="s">
        <v>910</v>
      </c>
      <c r="H2" s="231">
        <f>COUNT(H5:H81)</f>
        <v>16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SUM(Y9+Y14+Y23+Y32+Y41+Y50+Y55+Y66+Y72+Y81)</f>
        <v>0</v>
      </c>
      <c r="Z2" s="11">
        <f>SUM(Z9+Z14+Z23+Z32+Z41+Z50+Z55+Z66+Z72+Z81)</f>
        <v>0</v>
      </c>
      <c r="AA2" s="664"/>
      <c r="AB2" s="664"/>
      <c r="AC2" s="11">
        <f>SUM(AC9+AC14+AC23+AC32+AC41+AC50+AC55+AC66+AC72+AC81)</f>
        <v>67</v>
      </c>
      <c r="AD2" s="11">
        <f>SUM(AD9+AD14+AD23+AD32+AD41+AD50+AD55+AD66+AD72+AD81)</f>
        <v>0</v>
      </c>
      <c r="AE2" s="665"/>
      <c r="AF2" s="665"/>
      <c r="AG2" s="665"/>
    </row>
    <row r="3" spans="1:33" ht="40.5" customHeight="1">
      <c r="A3" s="617" t="s">
        <v>911</v>
      </c>
      <c r="B3" s="617" t="s">
        <v>912</v>
      </c>
      <c r="C3" s="617" t="s">
        <v>913</v>
      </c>
      <c r="D3" s="617"/>
      <c r="E3" s="661" t="s">
        <v>914</v>
      </c>
      <c r="F3" s="617" t="s">
        <v>915</v>
      </c>
      <c r="G3" s="661" t="s">
        <v>916</v>
      </c>
      <c r="H3" s="654" t="s">
        <v>917</v>
      </c>
      <c r="I3" s="652" t="s">
        <v>918</v>
      </c>
      <c r="J3" s="649" t="s">
        <v>919</v>
      </c>
      <c r="K3" s="659" t="s">
        <v>909</v>
      </c>
      <c r="L3" s="652" t="s">
        <v>918</v>
      </c>
      <c r="M3" s="649" t="s">
        <v>919</v>
      </c>
      <c r="N3" s="659" t="s">
        <v>909</v>
      </c>
      <c r="O3" s="652" t="s">
        <v>918</v>
      </c>
      <c r="P3" s="659" t="s">
        <v>909</v>
      </c>
      <c r="Q3" s="650" t="s">
        <v>920</v>
      </c>
      <c r="R3" s="630" t="s">
        <v>921</v>
      </c>
      <c r="S3" s="617" t="s">
        <v>1</v>
      </c>
      <c r="T3" s="617"/>
      <c r="U3" s="654" t="s">
        <v>2</v>
      </c>
      <c r="V3" s="654" t="s">
        <v>922</v>
      </c>
      <c r="W3" s="617" t="s">
        <v>923</v>
      </c>
      <c r="X3" s="617"/>
      <c r="Y3" s="655" t="s">
        <v>924</v>
      </c>
      <c r="Z3" s="614"/>
      <c r="AA3" s="656" t="s">
        <v>925</v>
      </c>
      <c r="AB3" s="657"/>
      <c r="AC3" s="655" t="s">
        <v>926</v>
      </c>
      <c r="AD3" s="614"/>
      <c r="AE3" s="649" t="s">
        <v>919</v>
      </c>
      <c r="AF3" s="650" t="s">
        <v>920</v>
      </c>
      <c r="AG3" s="630" t="s">
        <v>927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226" t="s">
        <v>3</v>
      </c>
      <c r="T4" s="226" t="s">
        <v>4</v>
      </c>
      <c r="U4" s="654"/>
      <c r="V4" s="654"/>
      <c r="W4" s="226" t="s">
        <v>928</v>
      </c>
      <c r="X4" s="226" t="s">
        <v>929</v>
      </c>
      <c r="Y4" s="224" t="s">
        <v>930</v>
      </c>
      <c r="Z4" s="224" t="s">
        <v>931</v>
      </c>
      <c r="AA4" s="658"/>
      <c r="AB4" s="657"/>
      <c r="AC4" s="224" t="s">
        <v>932</v>
      </c>
      <c r="AD4" s="224" t="s">
        <v>933</v>
      </c>
      <c r="AE4" s="649"/>
      <c r="AF4" s="650"/>
      <c r="AG4" s="630"/>
    </row>
    <row r="5" spans="1:33">
      <c r="A5" s="651" t="s">
        <v>934</v>
      </c>
      <c r="B5" s="29" t="s">
        <v>15</v>
      </c>
      <c r="C5" s="653" t="s">
        <v>17</v>
      </c>
      <c r="D5" s="653"/>
      <c r="E5" s="29">
        <v>50.67</v>
      </c>
      <c r="F5" s="230">
        <v>1682</v>
      </c>
      <c r="G5" s="226">
        <f t="shared" ref="G5:G8" si="0">E5*F5</f>
        <v>85226.94</v>
      </c>
      <c r="H5" s="33" t="s">
        <v>57</v>
      </c>
      <c r="I5" s="228">
        <v>15</v>
      </c>
      <c r="J5" s="31">
        <v>2000</v>
      </c>
      <c r="K5" s="12">
        <f t="shared" ref="K5:K68" si="1">J5/I5</f>
        <v>133.33333333333334</v>
      </c>
      <c r="L5" s="228">
        <v>15</v>
      </c>
      <c r="M5" s="13">
        <f t="shared" ref="M5:M8" si="2">F5/V5*60</f>
        <v>1904.1509433962274</v>
      </c>
      <c r="N5" s="12">
        <f t="shared" ref="N5:N68" si="3">M5/L5</f>
        <v>126.94339622641516</v>
      </c>
      <c r="O5" s="14">
        <f t="shared" ref="O5:O68" si="4">L5-I5</f>
        <v>0</v>
      </c>
      <c r="P5" s="15">
        <f t="shared" ref="P5:P68" si="5">N5-K5</f>
        <v>-6.3899371069181825</v>
      </c>
      <c r="Q5" s="225">
        <f t="shared" ref="Q5:Q68" si="6">N5/K5</f>
        <v>0.95207547169811368</v>
      </c>
      <c r="R5" s="615">
        <f>Q9</f>
        <v>0.95675467256534352</v>
      </c>
      <c r="S5" s="34">
        <v>0.70833333333333337</v>
      </c>
      <c r="T5" s="34">
        <v>0.74513888888888891</v>
      </c>
      <c r="U5" s="226"/>
      <c r="V5" s="229">
        <f t="shared" ref="V5:V8" si="7">(T5-S5)*24*60</f>
        <v>52.999999999999972</v>
      </c>
      <c r="W5" s="16"/>
      <c r="X5" s="17"/>
      <c r="Y5" s="17"/>
      <c r="Z5" s="17"/>
      <c r="AA5" s="617"/>
      <c r="AB5" s="617"/>
      <c r="AC5" s="35">
        <v>4</v>
      </c>
      <c r="AD5" s="18"/>
      <c r="AE5" s="14">
        <f t="shared" ref="AE5:AE65" si="8">M5-J5</f>
        <v>-95.849056603772624</v>
      </c>
      <c r="AF5" s="225">
        <f t="shared" ref="AF5:AF68" si="9">M5/J5</f>
        <v>0.95207547169811368</v>
      </c>
      <c r="AG5" s="615">
        <f>AF9</f>
        <v>0.95675467256534352</v>
      </c>
    </row>
    <row r="6" spans="1:33">
      <c r="A6" s="652" t="s">
        <v>934</v>
      </c>
      <c r="B6" s="29" t="s">
        <v>15</v>
      </c>
      <c r="C6" s="653" t="s">
        <v>26</v>
      </c>
      <c r="D6" s="653"/>
      <c r="E6" s="29">
        <v>50.92</v>
      </c>
      <c r="F6" s="230">
        <v>2742</v>
      </c>
      <c r="G6" s="226">
        <f t="shared" si="0"/>
        <v>139622.64000000001</v>
      </c>
      <c r="H6" s="33" t="s">
        <v>57</v>
      </c>
      <c r="I6" s="228">
        <v>15</v>
      </c>
      <c r="J6" s="31">
        <v>2000</v>
      </c>
      <c r="K6" s="12">
        <f t="shared" si="1"/>
        <v>133.33333333333334</v>
      </c>
      <c r="L6" s="228">
        <v>15</v>
      </c>
      <c r="M6" s="13">
        <f t="shared" si="2"/>
        <v>1913.0232558139533</v>
      </c>
      <c r="N6" s="12">
        <f t="shared" si="3"/>
        <v>127.53488372093021</v>
      </c>
      <c r="O6" s="14">
        <f t="shared" si="4"/>
        <v>0</v>
      </c>
      <c r="P6" s="15">
        <f t="shared" si="5"/>
        <v>-5.7984496124031324</v>
      </c>
      <c r="Q6" s="225">
        <f t="shared" si="6"/>
        <v>0.95651162790697652</v>
      </c>
      <c r="R6" s="615"/>
      <c r="S6" s="34">
        <v>0.74861111111111112</v>
      </c>
      <c r="T6" s="34">
        <v>0.80833333333333335</v>
      </c>
      <c r="U6" s="226">
        <f t="shared" ref="U6:U8" si="10">IF(S6=TIME(17,0,0),"",(S6-T5)*24*60)</f>
        <v>4.9999999999999822</v>
      </c>
      <c r="V6" s="229">
        <f t="shared" si="7"/>
        <v>86.000000000000014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-86.976744186046744</v>
      </c>
      <c r="AF6" s="225">
        <f t="shared" si="9"/>
        <v>0.95651162790697664</v>
      </c>
      <c r="AG6" s="615"/>
    </row>
    <row r="7" spans="1:33">
      <c r="A7" s="652" t="s">
        <v>934</v>
      </c>
      <c r="B7" s="29" t="s">
        <v>15</v>
      </c>
      <c r="C7" s="644" t="s">
        <v>31</v>
      </c>
      <c r="D7" s="645"/>
      <c r="E7" s="29">
        <v>50.98</v>
      </c>
      <c r="F7" s="230">
        <v>1000</v>
      </c>
      <c r="G7" s="226">
        <f t="shared" si="0"/>
        <v>50980</v>
      </c>
      <c r="H7" s="33">
        <v>2</v>
      </c>
      <c r="I7" s="228">
        <v>16</v>
      </c>
      <c r="J7" s="31">
        <v>2000</v>
      </c>
      <c r="K7" s="12">
        <f t="shared" si="1"/>
        <v>125</v>
      </c>
      <c r="L7" s="228">
        <v>16</v>
      </c>
      <c r="M7" s="13">
        <f t="shared" si="2"/>
        <v>1935.483870967739</v>
      </c>
      <c r="N7" s="12">
        <f t="shared" si="3"/>
        <v>120.96774193548369</v>
      </c>
      <c r="O7" s="14">
        <f t="shared" si="4"/>
        <v>0</v>
      </c>
      <c r="P7" s="15">
        <f t="shared" si="5"/>
        <v>-4.0322580645163129</v>
      </c>
      <c r="Q7" s="225">
        <f t="shared" si="6"/>
        <v>0.96774193548386944</v>
      </c>
      <c r="R7" s="615"/>
      <c r="S7" s="34">
        <v>0.81388888888888888</v>
      </c>
      <c r="T7" s="34">
        <v>0.8354166666666667</v>
      </c>
      <c r="U7" s="226">
        <f t="shared" si="10"/>
        <v>7.9999999999999716</v>
      </c>
      <c r="V7" s="229">
        <f t="shared" si="7"/>
        <v>31.00000000000005</v>
      </c>
      <c r="W7" s="16">
        <f>T7</f>
        <v>0.8354166666666667</v>
      </c>
      <c r="X7" s="16">
        <f>S8</f>
        <v>0.87777777777777777</v>
      </c>
      <c r="Y7" s="19"/>
      <c r="Z7" s="19"/>
      <c r="AA7" s="624"/>
      <c r="AB7" s="625"/>
      <c r="AC7" s="35"/>
      <c r="AD7" s="20"/>
      <c r="AE7" s="14">
        <f t="shared" si="8"/>
        <v>-64.516129032261006</v>
      </c>
      <c r="AF7" s="225">
        <f t="shared" si="9"/>
        <v>0.96774193548386944</v>
      </c>
      <c r="AG7" s="615"/>
    </row>
    <row r="8" spans="1:33">
      <c r="A8" s="652" t="s">
        <v>934</v>
      </c>
      <c r="B8" s="29" t="s">
        <v>15</v>
      </c>
      <c r="C8" s="644" t="s">
        <v>31</v>
      </c>
      <c r="D8" s="645"/>
      <c r="E8" s="29">
        <v>50.98</v>
      </c>
      <c r="F8" s="230">
        <v>1838</v>
      </c>
      <c r="G8" s="226">
        <f t="shared" si="0"/>
        <v>93701.239999999991</v>
      </c>
      <c r="H8" s="33" t="s">
        <v>57</v>
      </c>
      <c r="I8" s="228">
        <v>16</v>
      </c>
      <c r="J8" s="31">
        <v>2000</v>
      </c>
      <c r="K8" s="12">
        <f t="shared" si="1"/>
        <v>125</v>
      </c>
      <c r="L8" s="228">
        <v>16</v>
      </c>
      <c r="M8" s="13">
        <f t="shared" si="2"/>
        <v>1901.3793103448288</v>
      </c>
      <c r="N8" s="12">
        <f t="shared" si="3"/>
        <v>118.8362068965518</v>
      </c>
      <c r="O8" s="14">
        <f t="shared" si="4"/>
        <v>0</v>
      </c>
      <c r="P8" s="15">
        <f t="shared" si="5"/>
        <v>-6.1637931034481994</v>
      </c>
      <c r="Q8" s="225">
        <f t="shared" si="6"/>
        <v>0.95068965517241444</v>
      </c>
      <c r="R8" s="615"/>
      <c r="S8" s="34">
        <v>0.87777777777777777</v>
      </c>
      <c r="T8" s="34">
        <v>0.91805555555555551</v>
      </c>
      <c r="U8" s="226">
        <f t="shared" si="10"/>
        <v>60.999999999999943</v>
      </c>
      <c r="V8" s="229">
        <f t="shared" si="7"/>
        <v>57.999999999999957</v>
      </c>
      <c r="W8" s="21"/>
      <c r="X8" s="21"/>
      <c r="Y8" s="22"/>
      <c r="Z8" s="22"/>
      <c r="AA8" s="624"/>
      <c r="AB8" s="625"/>
      <c r="AC8" s="35"/>
      <c r="AD8" s="20"/>
      <c r="AE8" s="14">
        <f t="shared" si="8"/>
        <v>-98.620689655171191</v>
      </c>
      <c r="AF8" s="225">
        <f t="shared" si="9"/>
        <v>0.95068965517241444</v>
      </c>
      <c r="AG8" s="615"/>
    </row>
    <row r="9" spans="1:33">
      <c r="A9" s="652" t="s">
        <v>934</v>
      </c>
      <c r="B9" s="29" t="s">
        <v>935</v>
      </c>
      <c r="C9" s="618"/>
      <c r="D9" s="618"/>
      <c r="E9" s="227"/>
      <c r="F9" s="30"/>
      <c r="G9" s="12"/>
      <c r="H9" s="230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1913.5093451306871</v>
      </c>
      <c r="N9" s="12">
        <f t="shared" si="3"/>
        <v>123.45221581488303</v>
      </c>
      <c r="O9" s="14">
        <f t="shared" si="4"/>
        <v>0</v>
      </c>
      <c r="P9" s="15">
        <f t="shared" si="5"/>
        <v>-5.5800422496330953</v>
      </c>
      <c r="Q9" s="225">
        <f t="shared" si="6"/>
        <v>0.95675467256534352</v>
      </c>
      <c r="R9" s="615"/>
      <c r="S9" s="34"/>
      <c r="T9" s="34"/>
      <c r="U9" s="226"/>
      <c r="V9" s="229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-86.490654869312948</v>
      </c>
      <c r="AF9" s="225">
        <f t="shared" si="9"/>
        <v>0.95675467256534352</v>
      </c>
      <c r="AG9" s="615"/>
    </row>
    <row r="10" spans="1:33" ht="15.75" customHeight="1">
      <c r="A10" s="648" t="s">
        <v>936</v>
      </c>
      <c r="B10" s="29" t="s">
        <v>19</v>
      </c>
      <c r="C10" s="644" t="s">
        <v>20</v>
      </c>
      <c r="D10" s="645"/>
      <c r="E10" s="29">
        <v>39.619999999999997</v>
      </c>
      <c r="F10" s="230">
        <v>5288</v>
      </c>
      <c r="G10" s="226">
        <f t="shared" ref="G10:G13" si="11">E10*F10</f>
        <v>209510.56</v>
      </c>
      <c r="H10" s="33" t="s">
        <v>57</v>
      </c>
      <c r="I10" s="228">
        <v>19</v>
      </c>
      <c r="J10" s="31">
        <v>1500</v>
      </c>
      <c r="K10" s="12">
        <f t="shared" si="1"/>
        <v>78.94736842105263</v>
      </c>
      <c r="L10" s="228">
        <v>19</v>
      </c>
      <c r="M10" s="13">
        <f t="shared" ref="M10:M13" si="12">F10/V10*60</f>
        <v>1429.1891891891892</v>
      </c>
      <c r="N10" s="12">
        <f t="shared" si="3"/>
        <v>75.220483641536276</v>
      </c>
      <c r="O10" s="14">
        <f t="shared" si="4"/>
        <v>0</v>
      </c>
      <c r="P10" s="15">
        <f t="shared" si="5"/>
        <v>-3.7268847795163538</v>
      </c>
      <c r="Q10" s="225">
        <f t="shared" si="6"/>
        <v>0.95279279279279283</v>
      </c>
      <c r="R10" s="615">
        <f>Q14</f>
        <v>0.95453146349043472</v>
      </c>
      <c r="S10" s="34">
        <v>8.3333333333333329E-2</v>
      </c>
      <c r="T10" s="34">
        <v>0.23749999999999999</v>
      </c>
      <c r="U10" s="226"/>
      <c r="V10" s="229">
        <f t="shared" ref="V10:V13" si="13">(T10-S10)*24*60</f>
        <v>222</v>
      </c>
      <c r="W10" s="16">
        <f>T10</f>
        <v>0.23749999999999999</v>
      </c>
      <c r="X10" s="16">
        <f>S11</f>
        <v>0.25624999999999998</v>
      </c>
      <c r="Y10" s="16"/>
      <c r="Z10" s="16"/>
      <c r="AA10" s="617"/>
      <c r="AB10" s="617"/>
      <c r="AC10" s="35">
        <v>4</v>
      </c>
      <c r="AD10" s="18"/>
      <c r="AE10" s="14">
        <f t="shared" si="8"/>
        <v>-70.810810810810835</v>
      </c>
      <c r="AF10" s="225">
        <f t="shared" si="9"/>
        <v>0.95279279279279283</v>
      </c>
      <c r="AG10" s="615">
        <f>AF14</f>
        <v>0.95453146349043472</v>
      </c>
    </row>
    <row r="11" spans="1:33" ht="15.75" customHeight="1">
      <c r="A11" s="648" t="s">
        <v>936</v>
      </c>
      <c r="B11" s="29" t="s">
        <v>19</v>
      </c>
      <c r="C11" s="644" t="s">
        <v>267</v>
      </c>
      <c r="D11" s="645"/>
      <c r="E11" s="29">
        <v>39.520000000000003</v>
      </c>
      <c r="F11" s="230">
        <v>3382</v>
      </c>
      <c r="G11" s="226">
        <f t="shared" si="11"/>
        <v>133656.64000000001</v>
      </c>
      <c r="H11" s="33" t="s">
        <v>57</v>
      </c>
      <c r="I11" s="228">
        <v>19</v>
      </c>
      <c r="J11" s="31">
        <v>1500</v>
      </c>
      <c r="K11" s="12">
        <f t="shared" si="1"/>
        <v>78.94736842105263</v>
      </c>
      <c r="L11" s="228">
        <v>19</v>
      </c>
      <c r="M11" s="13">
        <f t="shared" si="12"/>
        <v>1429.0140845070425</v>
      </c>
      <c r="N11" s="12">
        <f t="shared" si="3"/>
        <v>75.211267605633822</v>
      </c>
      <c r="O11" s="14">
        <f t="shared" si="4"/>
        <v>0</v>
      </c>
      <c r="P11" s="15">
        <f t="shared" si="5"/>
        <v>-3.7361008154188085</v>
      </c>
      <c r="Q11" s="225">
        <f t="shared" si="6"/>
        <v>0.95267605633802843</v>
      </c>
      <c r="R11" s="615"/>
      <c r="S11" s="34">
        <v>0.25624999999999998</v>
      </c>
      <c r="T11" s="34">
        <v>0.35486111111111107</v>
      </c>
      <c r="U11" s="226">
        <f t="shared" ref="U11:U13" si="14">IF(S11=TIME(17,0,0),"",(S11-T10)*24*60)</f>
        <v>26.999999999999986</v>
      </c>
      <c r="V11" s="229">
        <f t="shared" si="13"/>
        <v>141.99999999999997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-70.985915492957474</v>
      </c>
      <c r="AF11" s="225">
        <f t="shared" si="9"/>
        <v>0.95267605633802832</v>
      </c>
      <c r="AG11" s="615"/>
    </row>
    <row r="12" spans="1:33" ht="15.75" customHeight="1">
      <c r="A12" s="648" t="s">
        <v>936</v>
      </c>
      <c r="B12" s="29" t="s">
        <v>19</v>
      </c>
      <c r="C12" s="644" t="s">
        <v>21</v>
      </c>
      <c r="D12" s="645"/>
      <c r="E12" s="29">
        <v>39.799999999999997</v>
      </c>
      <c r="F12" s="230">
        <v>4300</v>
      </c>
      <c r="G12" s="226">
        <f t="shared" si="11"/>
        <v>171140</v>
      </c>
      <c r="H12" s="33">
        <v>2</v>
      </c>
      <c r="I12" s="228">
        <v>17</v>
      </c>
      <c r="J12" s="31">
        <v>1500</v>
      </c>
      <c r="K12" s="12">
        <f t="shared" si="1"/>
        <v>88.235294117647058</v>
      </c>
      <c r="L12" s="228">
        <v>17</v>
      </c>
      <c r="M12" s="13">
        <f t="shared" si="12"/>
        <v>1433.3333333333333</v>
      </c>
      <c r="N12" s="12">
        <f t="shared" si="3"/>
        <v>84.313725490196077</v>
      </c>
      <c r="O12" s="14">
        <f t="shared" si="4"/>
        <v>0</v>
      </c>
      <c r="P12" s="15">
        <f t="shared" si="5"/>
        <v>-3.9215686274509807</v>
      </c>
      <c r="Q12" s="225">
        <f t="shared" si="6"/>
        <v>0.9555555555555556</v>
      </c>
      <c r="R12" s="615"/>
      <c r="S12" s="34">
        <v>0.35902777777777772</v>
      </c>
      <c r="T12" s="34">
        <v>0.48402777777777772</v>
      </c>
      <c r="U12" s="226">
        <f t="shared" si="14"/>
        <v>5.9999999999999787</v>
      </c>
      <c r="V12" s="229">
        <f t="shared" si="13"/>
        <v>180</v>
      </c>
      <c r="W12" s="16">
        <f>T12</f>
        <v>0.48402777777777772</v>
      </c>
      <c r="X12" s="16">
        <f>S13</f>
        <v>0.52430555555555547</v>
      </c>
      <c r="Y12" s="16"/>
      <c r="Z12" s="16"/>
      <c r="AA12" s="617"/>
      <c r="AB12" s="617"/>
      <c r="AC12" s="35"/>
      <c r="AD12" s="18"/>
      <c r="AE12" s="14">
        <f t="shared" si="8"/>
        <v>-66.666666666666742</v>
      </c>
      <c r="AF12" s="225">
        <f t="shared" si="9"/>
        <v>0.95555555555555549</v>
      </c>
      <c r="AG12" s="615"/>
    </row>
    <row r="13" spans="1:33" ht="15.75" customHeight="1">
      <c r="A13" s="648" t="s">
        <v>936</v>
      </c>
      <c r="B13" s="29" t="s">
        <v>19</v>
      </c>
      <c r="C13" s="644" t="s">
        <v>21</v>
      </c>
      <c r="D13" s="645"/>
      <c r="E13" s="29">
        <v>39.799999999999997</v>
      </c>
      <c r="F13" s="230">
        <v>3302</v>
      </c>
      <c r="G13" s="226">
        <f t="shared" si="11"/>
        <v>131419.59999999998</v>
      </c>
      <c r="H13" s="33" t="s">
        <v>57</v>
      </c>
      <c r="I13" s="228">
        <v>17</v>
      </c>
      <c r="J13" s="31">
        <v>1500</v>
      </c>
      <c r="K13" s="12">
        <f t="shared" si="1"/>
        <v>88.235294117647058</v>
      </c>
      <c r="L13" s="228">
        <v>17</v>
      </c>
      <c r="M13" s="13">
        <f t="shared" si="12"/>
        <v>1435.6521739130435</v>
      </c>
      <c r="N13" s="12">
        <f t="shared" si="3"/>
        <v>84.450127877237847</v>
      </c>
      <c r="O13" s="14">
        <f t="shared" si="4"/>
        <v>0</v>
      </c>
      <c r="P13" s="15">
        <f t="shared" si="5"/>
        <v>-3.785166240409211</v>
      </c>
      <c r="Q13" s="225">
        <f t="shared" si="6"/>
        <v>0.95710144927536223</v>
      </c>
      <c r="R13" s="615"/>
      <c r="S13" s="34">
        <v>0.52430555555555547</v>
      </c>
      <c r="T13" s="34">
        <v>0.6201388888888888</v>
      </c>
      <c r="U13" s="226">
        <f t="shared" si="14"/>
        <v>57.999999999999957</v>
      </c>
      <c r="V13" s="229">
        <f t="shared" si="13"/>
        <v>138</v>
      </c>
      <c r="W13" s="16"/>
      <c r="X13" s="16"/>
      <c r="Y13" s="16"/>
      <c r="Z13" s="16"/>
      <c r="AA13" s="624"/>
      <c r="AB13" s="625"/>
      <c r="AC13" s="35"/>
      <c r="AD13" s="18"/>
      <c r="AE13" s="14">
        <f t="shared" si="8"/>
        <v>-64.347826086956502</v>
      </c>
      <c r="AF13" s="225">
        <f t="shared" si="9"/>
        <v>0.95710144927536234</v>
      </c>
      <c r="AG13" s="615"/>
    </row>
    <row r="14" spans="1:33" ht="16.5" customHeight="1">
      <c r="A14" s="648" t="s">
        <v>936</v>
      </c>
      <c r="B14" s="29" t="s">
        <v>935</v>
      </c>
      <c r="C14" s="618"/>
      <c r="D14" s="618"/>
      <c r="E14" s="227"/>
      <c r="F14" s="31"/>
      <c r="G14" s="13"/>
      <c r="H14" s="230"/>
      <c r="I14" s="23">
        <v>18</v>
      </c>
      <c r="J14" s="31">
        <v>1500</v>
      </c>
      <c r="K14" s="12">
        <f t="shared" si="1"/>
        <v>83.333333333333329</v>
      </c>
      <c r="L14" s="23">
        <v>18</v>
      </c>
      <c r="M14" s="13">
        <f>AVERAGE(M10:M13)</f>
        <v>1431.797195235652</v>
      </c>
      <c r="N14" s="12">
        <f t="shared" si="3"/>
        <v>79.544288624202892</v>
      </c>
      <c r="O14" s="14">
        <f t="shared" si="4"/>
        <v>0</v>
      </c>
      <c r="P14" s="15">
        <f t="shared" si="5"/>
        <v>-3.7890447091304367</v>
      </c>
      <c r="Q14" s="225">
        <f t="shared" si="6"/>
        <v>0.95453146349043472</v>
      </c>
      <c r="R14" s="615"/>
      <c r="S14" s="34"/>
      <c r="T14" s="34"/>
      <c r="U14" s="12"/>
      <c r="V14" s="229"/>
      <c r="W14" s="12"/>
      <c r="X14" s="12"/>
      <c r="Y14" s="24">
        <f>SUM(Y10:Y13)</f>
        <v>0</v>
      </c>
      <c r="Z14" s="24">
        <f>SUM(Z10:Z13)</f>
        <v>0</v>
      </c>
      <c r="AA14" s="614"/>
      <c r="AB14" s="614"/>
      <c r="AC14" s="24">
        <v>4</v>
      </c>
      <c r="AD14" s="24">
        <f>SUM(AD10:AD13)</f>
        <v>0</v>
      </c>
      <c r="AE14" s="14">
        <f t="shared" si="8"/>
        <v>-68.202804764348002</v>
      </c>
      <c r="AF14" s="225">
        <f t="shared" si="9"/>
        <v>0.95453146349043472</v>
      </c>
      <c r="AG14" s="615"/>
    </row>
    <row r="15" spans="1:33" ht="16.5" customHeight="1">
      <c r="A15" s="646" t="s">
        <v>937</v>
      </c>
      <c r="B15" s="230" t="s">
        <v>22</v>
      </c>
      <c r="C15" s="640" t="s">
        <v>23</v>
      </c>
      <c r="D15" s="640"/>
      <c r="E15" s="29">
        <v>41</v>
      </c>
      <c r="F15" s="230">
        <v>2400</v>
      </c>
      <c r="G15" s="226">
        <f t="shared" ref="G15:G22" si="15">E15*F15</f>
        <v>98400</v>
      </c>
      <c r="H15" s="33" t="s">
        <v>57</v>
      </c>
      <c r="I15" s="228">
        <v>26</v>
      </c>
      <c r="J15" s="31">
        <v>1500</v>
      </c>
      <c r="K15" s="12">
        <f t="shared" si="1"/>
        <v>57.692307692307693</v>
      </c>
      <c r="L15" s="228">
        <v>26</v>
      </c>
      <c r="M15" s="13">
        <f t="shared" ref="M15:M22" si="16">F15/V15*60</f>
        <v>1439.9999999999998</v>
      </c>
      <c r="N15" s="12">
        <f t="shared" si="3"/>
        <v>55.384615384615373</v>
      </c>
      <c r="O15" s="14">
        <f t="shared" si="4"/>
        <v>0</v>
      </c>
      <c r="P15" s="15">
        <f t="shared" si="5"/>
        <v>-2.3076923076923208</v>
      </c>
      <c r="Q15" s="225">
        <f t="shared" si="6"/>
        <v>0.95999999999999974</v>
      </c>
      <c r="R15" s="615">
        <f>Q23</f>
        <v>0.95773135017327127</v>
      </c>
      <c r="S15" s="34">
        <v>8.3333333333333329E-2</v>
      </c>
      <c r="T15" s="34">
        <v>0.15277777777777779</v>
      </c>
      <c r="U15" s="226"/>
      <c r="V15" s="229">
        <f t="shared" ref="V15:V22" si="17">(T15-S15)*24*60</f>
        <v>100.00000000000001</v>
      </c>
      <c r="W15" s="16">
        <f>T15</f>
        <v>0.15277777777777779</v>
      </c>
      <c r="X15" s="16">
        <f>S16</f>
        <v>0.17152777777777778</v>
      </c>
      <c r="Y15" s="21"/>
      <c r="Z15" s="21"/>
      <c r="AA15" s="617"/>
      <c r="AB15" s="617"/>
      <c r="AC15" s="35">
        <v>8</v>
      </c>
      <c r="AD15" s="18"/>
      <c r="AE15" s="14">
        <f t="shared" si="8"/>
        <v>-60.000000000000227</v>
      </c>
      <c r="AF15" s="225">
        <f t="shared" si="9"/>
        <v>0.95999999999999985</v>
      </c>
      <c r="AG15" s="615">
        <f>AF23</f>
        <v>0.95773135017327127</v>
      </c>
    </row>
    <row r="16" spans="1:33" ht="16.5" customHeight="1">
      <c r="A16" s="647" t="s">
        <v>937</v>
      </c>
      <c r="B16" s="230" t="s">
        <v>22</v>
      </c>
      <c r="C16" s="640" t="s">
        <v>87</v>
      </c>
      <c r="D16" s="640"/>
      <c r="E16" s="29">
        <v>38.619999999999997</v>
      </c>
      <c r="F16" s="230">
        <v>2822</v>
      </c>
      <c r="G16" s="226">
        <f t="shared" si="15"/>
        <v>108985.64</v>
      </c>
      <c r="H16" s="33" t="s">
        <v>57</v>
      </c>
      <c r="I16" s="228">
        <v>24</v>
      </c>
      <c r="J16" s="31">
        <v>1500</v>
      </c>
      <c r="K16" s="12">
        <f t="shared" si="1"/>
        <v>62.5</v>
      </c>
      <c r="L16" s="228">
        <v>24</v>
      </c>
      <c r="M16" s="13">
        <f t="shared" si="16"/>
        <v>1434.9152542372883</v>
      </c>
      <c r="N16" s="12">
        <f t="shared" si="3"/>
        <v>59.788135593220346</v>
      </c>
      <c r="O16" s="14">
        <f t="shared" si="4"/>
        <v>0</v>
      </c>
      <c r="P16" s="15">
        <f t="shared" si="5"/>
        <v>-2.7118644067796538</v>
      </c>
      <c r="Q16" s="225">
        <f t="shared" si="6"/>
        <v>0.95661016949152555</v>
      </c>
      <c r="R16" s="615"/>
      <c r="S16" s="34">
        <v>0.17152777777777778</v>
      </c>
      <c r="T16" s="34">
        <v>0.25347222222222221</v>
      </c>
      <c r="U16" s="226">
        <f t="shared" ref="U16:U22" si="18">IF(S16=TIME(17,0,0),"",(S16-T15)*24*60)</f>
        <v>26.999999999999986</v>
      </c>
      <c r="V16" s="229">
        <f t="shared" si="17"/>
        <v>117.99999999999999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-65.084745762711691</v>
      </c>
      <c r="AF16" s="225">
        <f t="shared" si="9"/>
        <v>0.95661016949152555</v>
      </c>
      <c r="AG16" s="615"/>
    </row>
    <row r="17" spans="1:33" ht="16.5" customHeight="1">
      <c r="A17" s="647" t="s">
        <v>938</v>
      </c>
      <c r="B17" s="230" t="s">
        <v>15</v>
      </c>
      <c r="C17" s="640" t="s">
        <v>86</v>
      </c>
      <c r="D17" s="640"/>
      <c r="E17" s="29">
        <v>37.03</v>
      </c>
      <c r="F17" s="230">
        <v>4324</v>
      </c>
      <c r="G17" s="226">
        <f t="shared" si="15"/>
        <v>160117.72</v>
      </c>
      <c r="H17" s="33" t="s">
        <v>57</v>
      </c>
      <c r="I17" s="228">
        <v>13</v>
      </c>
      <c r="J17" s="31">
        <v>1500</v>
      </c>
      <c r="K17" s="12">
        <f t="shared" si="1"/>
        <v>115.38461538461539</v>
      </c>
      <c r="L17" s="228">
        <v>13</v>
      </c>
      <c r="M17" s="13">
        <f t="shared" si="16"/>
        <v>1433.3701657458564</v>
      </c>
      <c r="N17" s="12">
        <f t="shared" si="3"/>
        <v>110.25924351891203</v>
      </c>
      <c r="O17" s="14">
        <f t="shared" si="4"/>
        <v>0</v>
      </c>
      <c r="P17" s="15">
        <f t="shared" si="5"/>
        <v>-5.1253718657033573</v>
      </c>
      <c r="Q17" s="225">
        <f t="shared" si="6"/>
        <v>0.95558011049723757</v>
      </c>
      <c r="R17" s="615"/>
      <c r="S17" s="34">
        <v>0.25763888888888886</v>
      </c>
      <c r="T17" s="34">
        <v>0.3833333333333333</v>
      </c>
      <c r="U17" s="226">
        <f t="shared" si="18"/>
        <v>5.9999999999999787</v>
      </c>
      <c r="V17" s="229">
        <f t="shared" si="17"/>
        <v>181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-66.629834254143589</v>
      </c>
      <c r="AF17" s="225">
        <f t="shared" si="9"/>
        <v>0.95558011049723757</v>
      </c>
      <c r="AG17" s="615"/>
    </row>
    <row r="18" spans="1:33" ht="16.5" customHeight="1">
      <c r="A18" s="647" t="s">
        <v>937</v>
      </c>
      <c r="B18" s="230" t="s">
        <v>19</v>
      </c>
      <c r="C18" s="640" t="s">
        <v>83</v>
      </c>
      <c r="D18" s="640"/>
      <c r="E18" s="29">
        <v>39.46</v>
      </c>
      <c r="F18" s="230">
        <v>3500</v>
      </c>
      <c r="G18" s="226">
        <f t="shared" si="15"/>
        <v>138110</v>
      </c>
      <c r="H18" s="33">
        <v>2</v>
      </c>
      <c r="I18" s="228">
        <v>16</v>
      </c>
      <c r="J18" s="31">
        <v>1500</v>
      </c>
      <c r="K18" s="12">
        <f t="shared" si="1"/>
        <v>93.75</v>
      </c>
      <c r="L18" s="228">
        <v>16</v>
      </c>
      <c r="M18" s="13">
        <f t="shared" si="16"/>
        <v>1438.3561643835619</v>
      </c>
      <c r="N18" s="12">
        <f t="shared" si="3"/>
        <v>89.89726027397262</v>
      </c>
      <c r="O18" s="14">
        <f t="shared" si="4"/>
        <v>0</v>
      </c>
      <c r="P18" s="15">
        <f t="shared" si="5"/>
        <v>-3.8527397260273801</v>
      </c>
      <c r="Q18" s="225">
        <f t="shared" si="6"/>
        <v>0.95890410958904126</v>
      </c>
      <c r="R18" s="615"/>
      <c r="S18" s="34">
        <v>0.3881944444444444</v>
      </c>
      <c r="T18" s="34">
        <v>0.48958333333333326</v>
      </c>
      <c r="U18" s="226">
        <f t="shared" si="18"/>
        <v>6.9999999999999751</v>
      </c>
      <c r="V18" s="229">
        <f t="shared" si="17"/>
        <v>145.99999999999997</v>
      </c>
      <c r="W18" s="16">
        <f>T18</f>
        <v>0.48958333333333326</v>
      </c>
      <c r="X18" s="16">
        <f>S19</f>
        <v>0.53124999999999989</v>
      </c>
      <c r="Y18" s="16"/>
      <c r="Z18" s="16"/>
      <c r="AA18" s="617"/>
      <c r="AB18" s="617"/>
      <c r="AC18" s="35"/>
      <c r="AD18" s="18"/>
      <c r="AE18" s="14">
        <f t="shared" si="8"/>
        <v>-61.643835616438082</v>
      </c>
      <c r="AF18" s="225">
        <f t="shared" si="9"/>
        <v>0.95890410958904126</v>
      </c>
      <c r="AG18" s="615"/>
    </row>
    <row r="19" spans="1:33" ht="16.5" customHeight="1">
      <c r="A19" s="647" t="s">
        <v>937</v>
      </c>
      <c r="B19" s="230" t="s">
        <v>19</v>
      </c>
      <c r="C19" s="640" t="s">
        <v>83</v>
      </c>
      <c r="D19" s="640"/>
      <c r="E19" s="29">
        <v>39.46</v>
      </c>
      <c r="F19" s="230">
        <v>1373</v>
      </c>
      <c r="G19" s="226">
        <f t="shared" si="15"/>
        <v>54178.58</v>
      </c>
      <c r="H19" s="33" t="s">
        <v>57</v>
      </c>
      <c r="I19" s="228">
        <v>16</v>
      </c>
      <c r="J19" s="31">
        <v>1500</v>
      </c>
      <c r="K19" s="12">
        <f t="shared" si="1"/>
        <v>93.75</v>
      </c>
      <c r="L19" s="228">
        <v>16</v>
      </c>
      <c r="M19" s="13">
        <f t="shared" si="16"/>
        <v>1445.2631578947378</v>
      </c>
      <c r="N19" s="12">
        <f t="shared" si="3"/>
        <v>90.328947368421112</v>
      </c>
      <c r="O19" s="14">
        <f t="shared" si="4"/>
        <v>0</v>
      </c>
      <c r="P19" s="15">
        <f t="shared" si="5"/>
        <v>-3.4210526315788883</v>
      </c>
      <c r="Q19" s="225">
        <f t="shared" si="6"/>
        <v>0.9635087719298252</v>
      </c>
      <c r="R19" s="615"/>
      <c r="S19" s="34">
        <v>0.53124999999999989</v>
      </c>
      <c r="T19" s="34">
        <v>0.57083333333333319</v>
      </c>
      <c r="U19" s="226">
        <f t="shared" si="18"/>
        <v>59.999999999999943</v>
      </c>
      <c r="V19" s="229">
        <f t="shared" si="17"/>
        <v>56.999999999999957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-54.736842105262212</v>
      </c>
      <c r="AF19" s="225">
        <f t="shared" si="9"/>
        <v>0.9635087719298252</v>
      </c>
      <c r="AG19" s="615"/>
    </row>
    <row r="20" spans="1:33" ht="16.5" customHeight="1">
      <c r="A20" s="647" t="s">
        <v>937</v>
      </c>
      <c r="B20" s="230" t="s">
        <v>15</v>
      </c>
      <c r="C20" s="232" t="s">
        <v>25</v>
      </c>
      <c r="D20" s="233"/>
      <c r="E20" s="29">
        <v>53.68</v>
      </c>
      <c r="F20" s="230">
        <v>1371</v>
      </c>
      <c r="G20" s="226">
        <f t="shared" si="15"/>
        <v>73595.28</v>
      </c>
      <c r="H20" s="33" t="s">
        <v>57</v>
      </c>
      <c r="I20" s="228">
        <v>16</v>
      </c>
      <c r="J20" s="31">
        <v>1500</v>
      </c>
      <c r="K20" s="12">
        <f t="shared" si="1"/>
        <v>93.75</v>
      </c>
      <c r="L20" s="228">
        <v>16</v>
      </c>
      <c r="M20" s="13">
        <f t="shared" si="16"/>
        <v>1443.1578947368432</v>
      </c>
      <c r="N20" s="12">
        <f t="shared" si="3"/>
        <v>90.197368421052701</v>
      </c>
      <c r="O20" s="14">
        <f t="shared" si="4"/>
        <v>0</v>
      </c>
      <c r="P20" s="15">
        <f t="shared" si="5"/>
        <v>-3.5526315789472989</v>
      </c>
      <c r="Q20" s="225">
        <f t="shared" si="6"/>
        <v>0.96210526315789546</v>
      </c>
      <c r="R20" s="615"/>
      <c r="S20" s="34">
        <v>0.70833333333333337</v>
      </c>
      <c r="T20" s="34">
        <v>0.74791666666666667</v>
      </c>
      <c r="U20" s="226" t="str">
        <f t="shared" si="18"/>
        <v/>
      </c>
      <c r="V20" s="229">
        <f t="shared" si="17"/>
        <v>56.999999999999957</v>
      </c>
      <c r="W20" s="16"/>
      <c r="X20" s="16"/>
      <c r="Y20" s="19"/>
      <c r="Z20" s="19"/>
      <c r="AA20" s="221"/>
      <c r="AB20" s="222"/>
      <c r="AC20" s="35"/>
      <c r="AD20" s="18"/>
      <c r="AE20" s="14">
        <f t="shared" si="8"/>
        <v>-56.842105263156782</v>
      </c>
      <c r="AF20" s="225">
        <f t="shared" si="9"/>
        <v>0.96210526315789546</v>
      </c>
      <c r="AG20" s="615"/>
    </row>
    <row r="21" spans="1:33" ht="16.5" customHeight="1">
      <c r="A21" s="647" t="s">
        <v>938</v>
      </c>
      <c r="B21" s="230" t="s">
        <v>15</v>
      </c>
      <c r="C21" s="232" t="s">
        <v>18</v>
      </c>
      <c r="D21" s="233"/>
      <c r="E21" s="29">
        <v>52.86</v>
      </c>
      <c r="F21" s="230">
        <v>1531</v>
      </c>
      <c r="G21" s="226">
        <f t="shared" si="15"/>
        <v>80928.66</v>
      </c>
      <c r="H21" s="33" t="s">
        <v>57</v>
      </c>
      <c r="I21" s="228">
        <v>16</v>
      </c>
      <c r="J21" s="31">
        <v>2000</v>
      </c>
      <c r="K21" s="12">
        <f t="shared" si="1"/>
        <v>125</v>
      </c>
      <c r="L21" s="228">
        <v>16</v>
      </c>
      <c r="M21" s="13">
        <f t="shared" si="16"/>
        <v>1913.7500000000005</v>
      </c>
      <c r="N21" s="12">
        <f t="shared" si="3"/>
        <v>119.60937500000003</v>
      </c>
      <c r="O21" s="14">
        <f t="shared" si="4"/>
        <v>0</v>
      </c>
      <c r="P21" s="15">
        <f t="shared" si="5"/>
        <v>-5.3906249999999716</v>
      </c>
      <c r="Q21" s="225">
        <f t="shared" si="6"/>
        <v>0.95687500000000025</v>
      </c>
      <c r="R21" s="615"/>
      <c r="S21" s="34">
        <v>0.75208333333333333</v>
      </c>
      <c r="T21" s="34">
        <v>0.78541666666666665</v>
      </c>
      <c r="U21" s="226">
        <f t="shared" si="18"/>
        <v>5.9999999999999787</v>
      </c>
      <c r="V21" s="229">
        <f t="shared" si="17"/>
        <v>47.999999999999986</v>
      </c>
      <c r="W21" s="16"/>
      <c r="X21" s="16"/>
      <c r="Y21" s="19"/>
      <c r="Z21" s="19"/>
      <c r="AA21" s="221"/>
      <c r="AB21" s="222"/>
      <c r="AC21" s="35"/>
      <c r="AD21" s="18"/>
      <c r="AE21" s="14">
        <f t="shared" si="8"/>
        <v>-86.249999999999545</v>
      </c>
      <c r="AF21" s="225">
        <f t="shared" si="9"/>
        <v>0.95687500000000025</v>
      </c>
      <c r="AG21" s="615"/>
    </row>
    <row r="22" spans="1:33" ht="16.5" customHeight="1">
      <c r="A22" s="647" t="s">
        <v>937</v>
      </c>
      <c r="B22" s="230" t="s">
        <v>15</v>
      </c>
      <c r="C22" s="232" t="s">
        <v>16</v>
      </c>
      <c r="D22" s="233"/>
      <c r="E22" s="29">
        <v>50.67</v>
      </c>
      <c r="F22" s="230">
        <v>1870</v>
      </c>
      <c r="G22" s="226">
        <f t="shared" si="15"/>
        <v>94752.900000000009</v>
      </c>
      <c r="H22" s="33" t="s">
        <v>57</v>
      </c>
      <c r="I22" s="228">
        <v>17</v>
      </c>
      <c r="J22" s="31">
        <v>2000</v>
      </c>
      <c r="K22" s="12">
        <f t="shared" si="1"/>
        <v>117.64705882352941</v>
      </c>
      <c r="L22" s="228">
        <v>17</v>
      </c>
      <c r="M22" s="13">
        <f t="shared" si="16"/>
        <v>1901.6949152542388</v>
      </c>
      <c r="N22" s="12">
        <f t="shared" si="3"/>
        <v>111.86440677966111</v>
      </c>
      <c r="O22" s="14">
        <f t="shared" si="4"/>
        <v>0</v>
      </c>
      <c r="P22" s="15">
        <f t="shared" si="5"/>
        <v>-5.7826520438682962</v>
      </c>
      <c r="Q22" s="225">
        <f t="shared" si="6"/>
        <v>0.95084745762711953</v>
      </c>
      <c r="R22" s="615"/>
      <c r="S22" s="34">
        <v>0.7895833333333333</v>
      </c>
      <c r="T22" s="34">
        <v>0.83055555555555549</v>
      </c>
      <c r="U22" s="226">
        <f t="shared" si="18"/>
        <v>5.9999999999999787</v>
      </c>
      <c r="V22" s="229">
        <f t="shared" si="17"/>
        <v>58.99999999999995</v>
      </c>
      <c r="W22" s="16"/>
      <c r="X22" s="16"/>
      <c r="Y22" s="19"/>
      <c r="Z22" s="19"/>
      <c r="AA22" s="221"/>
      <c r="AB22" s="222"/>
      <c r="AC22" s="35"/>
      <c r="AD22" s="18"/>
      <c r="AE22" s="14">
        <f t="shared" si="8"/>
        <v>-98.305084745761178</v>
      </c>
      <c r="AF22" s="225">
        <f t="shared" si="9"/>
        <v>0.95084745762711942</v>
      </c>
      <c r="AG22" s="615"/>
    </row>
    <row r="23" spans="1:33" ht="16.5" customHeight="1">
      <c r="A23" s="647" t="s">
        <v>937</v>
      </c>
      <c r="B23" s="29" t="s">
        <v>935</v>
      </c>
      <c r="C23" s="618"/>
      <c r="D23" s="618"/>
      <c r="E23" s="227"/>
      <c r="F23" s="30"/>
      <c r="G23" s="12"/>
      <c r="H23" s="230"/>
      <c r="I23" s="23">
        <v>18</v>
      </c>
      <c r="J23" s="31">
        <v>1625</v>
      </c>
      <c r="K23" s="12">
        <f t="shared" si="1"/>
        <v>90.277777777777771</v>
      </c>
      <c r="L23" s="23">
        <v>18</v>
      </c>
      <c r="M23" s="13">
        <f>AVERAGE(M15:M22)</f>
        <v>1556.3134440315657</v>
      </c>
      <c r="N23" s="12">
        <f t="shared" si="3"/>
        <v>86.461858001753654</v>
      </c>
      <c r="O23" s="14">
        <f t="shared" si="4"/>
        <v>0</v>
      </c>
      <c r="P23" s="15">
        <f t="shared" si="5"/>
        <v>-3.815919776024117</v>
      </c>
      <c r="Q23" s="225">
        <f t="shared" si="6"/>
        <v>0.95773135017327127</v>
      </c>
      <c r="R23" s="615"/>
      <c r="S23" s="34"/>
      <c r="T23" s="34"/>
      <c r="U23" s="226"/>
      <c r="V23" s="229"/>
      <c r="W23" s="12"/>
      <c r="X23" s="12"/>
      <c r="Y23" s="24">
        <f>SUM(Y15:Y22)</f>
        <v>0</v>
      </c>
      <c r="Z23" s="24">
        <f>SUM(Z15:Z22)</f>
        <v>0</v>
      </c>
      <c r="AA23" s="614"/>
      <c r="AB23" s="614"/>
      <c r="AC23" s="24">
        <v>8</v>
      </c>
      <c r="AD23" s="24">
        <f>SUM(AD15:AD22)</f>
        <v>0</v>
      </c>
      <c r="AE23" s="14">
        <f t="shared" si="8"/>
        <v>-68.686555968434277</v>
      </c>
      <c r="AF23" s="225">
        <f t="shared" si="9"/>
        <v>0.95773135017327127</v>
      </c>
      <c r="AG23" s="615"/>
    </row>
    <row r="24" spans="1:33" ht="15.75" customHeight="1">
      <c r="A24" s="642" t="s">
        <v>939</v>
      </c>
      <c r="B24" s="29" t="s">
        <v>15</v>
      </c>
      <c r="C24" s="640" t="s">
        <v>24</v>
      </c>
      <c r="D24" s="640"/>
      <c r="E24" s="29">
        <v>54.09</v>
      </c>
      <c r="F24" s="230">
        <v>1714</v>
      </c>
      <c r="G24" s="226">
        <f t="shared" ref="G24:G31" si="19">E24*F24</f>
        <v>92710.260000000009</v>
      </c>
      <c r="H24" s="33" t="s">
        <v>57</v>
      </c>
      <c r="I24" s="228">
        <v>17</v>
      </c>
      <c r="J24" s="31">
        <v>1500</v>
      </c>
      <c r="K24" s="12">
        <f t="shared" si="1"/>
        <v>88.235294117647058</v>
      </c>
      <c r="L24" s="228">
        <v>17</v>
      </c>
      <c r="M24" s="13">
        <f t="shared" ref="M24:M31" si="20">F24/V24*60</f>
        <v>1428.3333333333328</v>
      </c>
      <c r="N24" s="12">
        <f t="shared" si="3"/>
        <v>84.019607843137223</v>
      </c>
      <c r="O24" s="14">
        <f t="shared" si="4"/>
        <v>0</v>
      </c>
      <c r="P24" s="15">
        <f t="shared" si="5"/>
        <v>-4.2156862745098351</v>
      </c>
      <c r="Q24" s="225">
        <f t="shared" si="6"/>
        <v>0.95222222222222186</v>
      </c>
      <c r="R24" s="615">
        <f>Q32</f>
        <v>0.95697476863894748</v>
      </c>
      <c r="S24" s="34">
        <v>0.20833333333333334</v>
      </c>
      <c r="T24" s="34">
        <v>0.25833333333333336</v>
      </c>
      <c r="U24" s="226"/>
      <c r="V24" s="229">
        <f t="shared" ref="V24:V31" si="21">(T24-S24)*24*60</f>
        <v>72.000000000000028</v>
      </c>
      <c r="W24" s="21"/>
      <c r="X24" s="21"/>
      <c r="Y24" s="21"/>
      <c r="Z24" s="21"/>
      <c r="AA24" s="617"/>
      <c r="AB24" s="617"/>
      <c r="AC24" s="35">
        <v>8</v>
      </c>
      <c r="AD24" s="18"/>
      <c r="AE24" s="14">
        <f t="shared" si="8"/>
        <v>-71.666666666667197</v>
      </c>
      <c r="AF24" s="225">
        <f t="shared" si="9"/>
        <v>0.95222222222222186</v>
      </c>
      <c r="AG24" s="615">
        <f>AF32</f>
        <v>0.95697476863894759</v>
      </c>
    </row>
    <row r="25" spans="1:33" ht="15.75" customHeight="1">
      <c r="A25" s="643" t="s">
        <v>939</v>
      </c>
      <c r="B25" s="29" t="s">
        <v>15</v>
      </c>
      <c r="C25" s="640" t="s">
        <v>28</v>
      </c>
      <c r="D25" s="640"/>
      <c r="E25" s="29">
        <v>50.67</v>
      </c>
      <c r="F25" s="230">
        <v>2418</v>
      </c>
      <c r="G25" s="226">
        <f t="shared" si="19"/>
        <v>122520.06</v>
      </c>
      <c r="H25" s="33" t="s">
        <v>57</v>
      </c>
      <c r="I25" s="228">
        <v>17</v>
      </c>
      <c r="J25" s="31">
        <v>2000</v>
      </c>
      <c r="K25" s="12">
        <f t="shared" si="1"/>
        <v>117.64705882352941</v>
      </c>
      <c r="L25" s="228">
        <v>17</v>
      </c>
      <c r="M25" s="13">
        <f t="shared" si="20"/>
        <v>1908.9473684210534</v>
      </c>
      <c r="N25" s="12">
        <f t="shared" si="3"/>
        <v>112.29102167182667</v>
      </c>
      <c r="O25" s="14">
        <f t="shared" si="4"/>
        <v>0</v>
      </c>
      <c r="P25" s="15">
        <f t="shared" si="5"/>
        <v>-5.3560371517027363</v>
      </c>
      <c r="Q25" s="225">
        <f t="shared" si="6"/>
        <v>0.9544736842105267</v>
      </c>
      <c r="R25" s="615"/>
      <c r="S25" s="34">
        <v>0.26319444444444445</v>
      </c>
      <c r="T25" s="34">
        <v>0.31597222222222221</v>
      </c>
      <c r="U25" s="226">
        <f t="shared" ref="U25:U31" si="22">IF(S25=TIME(17,0,0),"",(S25-T24)*24*60)</f>
        <v>6.9999999999999751</v>
      </c>
      <c r="V25" s="229">
        <f t="shared" si="21"/>
        <v>75.999999999999972</v>
      </c>
      <c r="W25" s="16"/>
      <c r="X25" s="226"/>
      <c r="Y25" s="226"/>
      <c r="Z25" s="226"/>
      <c r="AA25" s="617"/>
      <c r="AB25" s="617"/>
      <c r="AC25" s="35"/>
      <c r="AD25" s="18"/>
      <c r="AE25" s="14">
        <f t="shared" si="8"/>
        <v>-91.052631578946603</v>
      </c>
      <c r="AF25" s="225">
        <f t="shared" si="9"/>
        <v>0.9544736842105267</v>
      </c>
      <c r="AG25" s="615"/>
    </row>
    <row r="26" spans="1:33" ht="15.75" customHeight="1">
      <c r="A26" s="643" t="s">
        <v>939</v>
      </c>
      <c r="B26" s="29" t="s">
        <v>15</v>
      </c>
      <c r="C26" s="640" t="s">
        <v>29</v>
      </c>
      <c r="D26" s="640"/>
      <c r="E26" s="29">
        <v>57.73</v>
      </c>
      <c r="F26" s="230">
        <v>2769</v>
      </c>
      <c r="G26" s="226">
        <f t="shared" si="19"/>
        <v>159854.37</v>
      </c>
      <c r="H26" s="33" t="s">
        <v>57</v>
      </c>
      <c r="I26" s="228">
        <v>14</v>
      </c>
      <c r="J26" s="31">
        <v>2000</v>
      </c>
      <c r="K26" s="12">
        <f t="shared" si="1"/>
        <v>142.85714285714286</v>
      </c>
      <c r="L26" s="228">
        <v>14</v>
      </c>
      <c r="M26" s="13">
        <f t="shared" si="20"/>
        <v>1909.6551724137928</v>
      </c>
      <c r="N26" s="12">
        <f t="shared" si="3"/>
        <v>136.40394088669947</v>
      </c>
      <c r="O26" s="14">
        <f t="shared" si="4"/>
        <v>0</v>
      </c>
      <c r="P26" s="15">
        <f t="shared" si="5"/>
        <v>-6.4532019704433878</v>
      </c>
      <c r="Q26" s="225">
        <f t="shared" si="6"/>
        <v>0.95482758620689634</v>
      </c>
      <c r="R26" s="615"/>
      <c r="S26" s="34">
        <v>0.31944444444444442</v>
      </c>
      <c r="T26" s="34">
        <v>0.37986111111111109</v>
      </c>
      <c r="U26" s="226">
        <f t="shared" si="22"/>
        <v>4.9999999999999822</v>
      </c>
      <c r="V26" s="229">
        <f t="shared" si="21"/>
        <v>87.000000000000014</v>
      </c>
      <c r="W26" s="16"/>
      <c r="X26" s="226"/>
      <c r="Y26" s="226"/>
      <c r="Z26" s="226"/>
      <c r="AA26" s="617"/>
      <c r="AB26" s="617"/>
      <c r="AC26" s="35"/>
      <c r="AD26" s="18"/>
      <c r="AE26" s="14">
        <f t="shared" si="8"/>
        <v>-90.344827586207202</v>
      </c>
      <c r="AF26" s="225">
        <f t="shared" si="9"/>
        <v>0.95482758620689645</v>
      </c>
      <c r="AG26" s="615"/>
    </row>
    <row r="27" spans="1:33" ht="15.75" customHeight="1">
      <c r="A27" s="643" t="s">
        <v>939</v>
      </c>
      <c r="B27" s="29" t="s">
        <v>15</v>
      </c>
      <c r="C27" s="640" t="s">
        <v>80</v>
      </c>
      <c r="D27" s="640"/>
      <c r="E27" s="29">
        <v>53.27</v>
      </c>
      <c r="F27" s="230">
        <v>2172</v>
      </c>
      <c r="G27" s="226">
        <f t="shared" si="19"/>
        <v>115702.44</v>
      </c>
      <c r="H27" s="33" t="s">
        <v>57</v>
      </c>
      <c r="I27" s="228">
        <v>16</v>
      </c>
      <c r="J27" s="31">
        <v>2000</v>
      </c>
      <c r="K27" s="12">
        <f t="shared" si="1"/>
        <v>125</v>
      </c>
      <c r="L27" s="228">
        <v>16</v>
      </c>
      <c r="M27" s="13">
        <f t="shared" si="20"/>
        <v>1916.4705882352941</v>
      </c>
      <c r="N27" s="12">
        <f t="shared" si="3"/>
        <v>119.77941176470588</v>
      </c>
      <c r="O27" s="14">
        <f t="shared" si="4"/>
        <v>0</v>
      </c>
      <c r="P27" s="15">
        <f t="shared" si="5"/>
        <v>-5.220588235294116</v>
      </c>
      <c r="Q27" s="225">
        <f t="shared" si="6"/>
        <v>0.95823529411764707</v>
      </c>
      <c r="R27" s="615"/>
      <c r="S27" s="34">
        <v>0.38541666666666663</v>
      </c>
      <c r="T27" s="34">
        <v>0.43263888888888885</v>
      </c>
      <c r="U27" s="226">
        <f t="shared" si="22"/>
        <v>7.9999999999999716</v>
      </c>
      <c r="V27" s="229">
        <f t="shared" si="21"/>
        <v>68</v>
      </c>
      <c r="W27" s="16"/>
      <c r="X27" s="226"/>
      <c r="Y27" s="226"/>
      <c r="Z27" s="226"/>
      <c r="AA27" s="617"/>
      <c r="AB27" s="617"/>
      <c r="AC27" s="35"/>
      <c r="AD27" s="18"/>
      <c r="AE27" s="14">
        <f t="shared" si="8"/>
        <v>-83.529411764705856</v>
      </c>
      <c r="AF27" s="225">
        <f t="shared" si="9"/>
        <v>0.95823529411764707</v>
      </c>
      <c r="AG27" s="615"/>
    </row>
    <row r="28" spans="1:33" ht="15.75" customHeight="1">
      <c r="A28" s="643" t="s">
        <v>939</v>
      </c>
      <c r="B28" s="29" t="s">
        <v>15</v>
      </c>
      <c r="C28" s="640" t="s">
        <v>30</v>
      </c>
      <c r="D28" s="640"/>
      <c r="E28" s="29">
        <v>50.49</v>
      </c>
      <c r="F28" s="230">
        <v>2193</v>
      </c>
      <c r="G28" s="226">
        <f t="shared" si="19"/>
        <v>110724.57</v>
      </c>
      <c r="H28" s="33" t="s">
        <v>57</v>
      </c>
      <c r="I28" s="228">
        <v>15</v>
      </c>
      <c r="J28" s="31">
        <v>2000</v>
      </c>
      <c r="K28" s="12">
        <f t="shared" si="1"/>
        <v>133.33333333333334</v>
      </c>
      <c r="L28" s="228">
        <v>15</v>
      </c>
      <c r="M28" s="13">
        <f t="shared" si="20"/>
        <v>1906.9565217391284</v>
      </c>
      <c r="N28" s="12">
        <f t="shared" si="3"/>
        <v>127.13043478260856</v>
      </c>
      <c r="O28" s="14">
        <f t="shared" si="4"/>
        <v>0</v>
      </c>
      <c r="P28" s="15">
        <f t="shared" si="5"/>
        <v>-6.2028985507247825</v>
      </c>
      <c r="Q28" s="225">
        <f t="shared" si="6"/>
        <v>0.95347826086956411</v>
      </c>
      <c r="R28" s="615"/>
      <c r="S28" s="34">
        <v>0.70833333333333337</v>
      </c>
      <c r="T28" s="34">
        <v>0.75625000000000009</v>
      </c>
      <c r="U28" s="226" t="str">
        <f t="shared" si="22"/>
        <v/>
      </c>
      <c r="V28" s="229">
        <f t="shared" si="21"/>
        <v>69.000000000000071</v>
      </c>
      <c r="W28" s="16"/>
      <c r="X28" s="16"/>
      <c r="Y28" s="226"/>
      <c r="Z28" s="226"/>
      <c r="AA28" s="617"/>
      <c r="AB28" s="617"/>
      <c r="AC28" s="35"/>
      <c r="AD28" s="18"/>
      <c r="AE28" s="14">
        <f t="shared" si="8"/>
        <v>-93.043478260871552</v>
      </c>
      <c r="AF28" s="225">
        <f t="shared" si="9"/>
        <v>0.95347826086956422</v>
      </c>
      <c r="AG28" s="615"/>
    </row>
    <row r="29" spans="1:33" ht="15.75" customHeight="1">
      <c r="A29" s="643" t="s">
        <v>939</v>
      </c>
      <c r="B29" s="29" t="s">
        <v>15</v>
      </c>
      <c r="C29" s="640" t="s">
        <v>85</v>
      </c>
      <c r="D29" s="640"/>
      <c r="E29" s="29">
        <v>56.43</v>
      </c>
      <c r="F29" s="230">
        <v>2207</v>
      </c>
      <c r="G29" s="226">
        <f t="shared" si="19"/>
        <v>124541.01</v>
      </c>
      <c r="H29" s="33" t="s">
        <v>57</v>
      </c>
      <c r="I29" s="228">
        <v>13</v>
      </c>
      <c r="J29" s="31">
        <v>2000</v>
      </c>
      <c r="K29" s="12">
        <f t="shared" si="1"/>
        <v>153.84615384615384</v>
      </c>
      <c r="L29" s="228">
        <v>13</v>
      </c>
      <c r="M29" s="13">
        <f t="shared" si="20"/>
        <v>1919.130434782611</v>
      </c>
      <c r="N29" s="12">
        <f t="shared" si="3"/>
        <v>147.62541806020084</v>
      </c>
      <c r="O29" s="14">
        <f t="shared" si="4"/>
        <v>0</v>
      </c>
      <c r="P29" s="15">
        <f t="shared" si="5"/>
        <v>-6.2207357859529964</v>
      </c>
      <c r="Q29" s="225">
        <f t="shared" si="6"/>
        <v>0.95956521739130551</v>
      </c>
      <c r="R29" s="615"/>
      <c r="S29" s="34">
        <v>0.76180555555555562</v>
      </c>
      <c r="T29" s="34">
        <v>0.80972222222222223</v>
      </c>
      <c r="U29" s="226">
        <f t="shared" si="22"/>
        <v>7.9999999999999716</v>
      </c>
      <c r="V29" s="229">
        <f t="shared" si="21"/>
        <v>68.999999999999915</v>
      </c>
      <c r="W29" s="16"/>
      <c r="X29" s="21"/>
      <c r="Y29" s="21"/>
      <c r="Z29" s="21"/>
      <c r="AA29" s="617"/>
      <c r="AB29" s="617"/>
      <c r="AC29" s="35"/>
      <c r="AD29" s="18"/>
      <c r="AE29" s="14">
        <f t="shared" si="8"/>
        <v>-80.869565217388981</v>
      </c>
      <c r="AF29" s="225">
        <f t="shared" si="9"/>
        <v>0.95956521739130551</v>
      </c>
      <c r="AG29" s="615"/>
    </row>
    <row r="30" spans="1:33" ht="15.75" customHeight="1">
      <c r="A30" s="643" t="s">
        <v>939</v>
      </c>
      <c r="B30" s="29" t="s">
        <v>15</v>
      </c>
      <c r="C30" s="666" t="s">
        <v>82</v>
      </c>
      <c r="D30" s="667"/>
      <c r="E30" s="29">
        <v>51.06</v>
      </c>
      <c r="F30" s="230">
        <v>1100</v>
      </c>
      <c r="G30" s="226">
        <f t="shared" si="19"/>
        <v>56166</v>
      </c>
      <c r="H30" s="33">
        <v>2</v>
      </c>
      <c r="I30" s="228">
        <v>13</v>
      </c>
      <c r="J30" s="31">
        <v>2000</v>
      </c>
      <c r="K30" s="12">
        <f t="shared" si="1"/>
        <v>153.84615384615384</v>
      </c>
      <c r="L30" s="228">
        <v>13</v>
      </c>
      <c r="M30" s="13">
        <f t="shared" si="20"/>
        <v>1941.1764705882326</v>
      </c>
      <c r="N30" s="12">
        <f t="shared" si="3"/>
        <v>149.32126696832557</v>
      </c>
      <c r="O30" s="14">
        <f t="shared" si="4"/>
        <v>0</v>
      </c>
      <c r="P30" s="15">
        <f t="shared" si="5"/>
        <v>-4.5248868778282656</v>
      </c>
      <c r="Q30" s="225">
        <f t="shared" si="6"/>
        <v>0.97058823529411631</v>
      </c>
      <c r="R30" s="615"/>
      <c r="S30" s="34">
        <v>0.81388888888888888</v>
      </c>
      <c r="T30" s="34">
        <v>0.83750000000000002</v>
      </c>
      <c r="U30" s="226">
        <f t="shared" si="22"/>
        <v>5.9999999999999787</v>
      </c>
      <c r="V30" s="229">
        <f t="shared" si="21"/>
        <v>34.000000000000043</v>
      </c>
      <c r="W30" s="16">
        <f>T30</f>
        <v>0.83750000000000002</v>
      </c>
      <c r="X30" s="16">
        <f>S31</f>
        <v>0.87986111111111109</v>
      </c>
      <c r="Y30" s="22"/>
      <c r="Z30" s="22"/>
      <c r="AA30" s="624"/>
      <c r="AB30" s="625"/>
      <c r="AC30" s="35"/>
      <c r="AD30" s="18"/>
      <c r="AE30" s="14">
        <f t="shared" si="8"/>
        <v>-58.823529411767367</v>
      </c>
      <c r="AF30" s="225">
        <f t="shared" si="9"/>
        <v>0.97058823529411631</v>
      </c>
      <c r="AG30" s="615"/>
    </row>
    <row r="31" spans="1:33" ht="15.75" customHeight="1">
      <c r="A31" s="643" t="s">
        <v>939</v>
      </c>
      <c r="B31" s="29" t="s">
        <v>15</v>
      </c>
      <c r="C31" s="232" t="s">
        <v>82</v>
      </c>
      <c r="D31" s="233"/>
      <c r="E31" s="29">
        <v>51.06</v>
      </c>
      <c r="F31" s="230">
        <v>2600</v>
      </c>
      <c r="G31" s="226">
        <f t="shared" si="19"/>
        <v>132756</v>
      </c>
      <c r="H31" s="33" t="s">
        <v>57</v>
      </c>
      <c r="I31" s="228">
        <v>13</v>
      </c>
      <c r="J31" s="31">
        <v>2000</v>
      </c>
      <c r="K31" s="12">
        <f t="shared" si="1"/>
        <v>153.84615384615384</v>
      </c>
      <c r="L31" s="228">
        <v>13</v>
      </c>
      <c r="M31" s="13">
        <f t="shared" si="20"/>
        <v>1902.4390243902433</v>
      </c>
      <c r="N31" s="12">
        <f t="shared" si="3"/>
        <v>146.34146341463409</v>
      </c>
      <c r="O31" s="14">
        <f t="shared" si="4"/>
        <v>0</v>
      </c>
      <c r="P31" s="15">
        <f t="shared" si="5"/>
        <v>-7.504690431519748</v>
      </c>
      <c r="Q31" s="225">
        <f t="shared" si="6"/>
        <v>0.95121951219512169</v>
      </c>
      <c r="R31" s="615"/>
      <c r="S31" s="34">
        <v>0.87986111111111109</v>
      </c>
      <c r="T31" s="34">
        <v>0.93680555555555556</v>
      </c>
      <c r="U31" s="226">
        <f t="shared" si="22"/>
        <v>60.999999999999943</v>
      </c>
      <c r="V31" s="229">
        <f t="shared" si="21"/>
        <v>82.000000000000028</v>
      </c>
      <c r="W31" s="16"/>
      <c r="X31" s="16"/>
      <c r="Y31" s="19"/>
      <c r="Z31" s="19"/>
      <c r="AA31" s="221"/>
      <c r="AB31" s="222"/>
      <c r="AC31" s="35"/>
      <c r="AD31" s="18"/>
      <c r="AE31" s="14">
        <f t="shared" si="8"/>
        <v>-97.560975609756724</v>
      </c>
      <c r="AF31" s="225">
        <f t="shared" si="9"/>
        <v>0.95121951219512169</v>
      </c>
      <c r="AG31" s="615"/>
    </row>
    <row r="32" spans="1:33" ht="15.75" customHeight="1">
      <c r="A32" s="643" t="s">
        <v>939</v>
      </c>
      <c r="B32" s="29" t="s">
        <v>935</v>
      </c>
      <c r="C32" s="618"/>
      <c r="D32" s="618"/>
      <c r="E32" s="227"/>
      <c r="F32" s="230"/>
      <c r="G32" s="226"/>
      <c r="H32" s="230"/>
      <c r="I32" s="23">
        <v>14.75</v>
      </c>
      <c r="J32" s="31">
        <v>1937.5</v>
      </c>
      <c r="K32" s="12">
        <f t="shared" si="1"/>
        <v>131.35593220338984</v>
      </c>
      <c r="L32" s="23">
        <v>14.75</v>
      </c>
      <c r="M32" s="13">
        <f>AVERAGE(M24:M31)</f>
        <v>1854.1386142379611</v>
      </c>
      <c r="N32" s="12">
        <f t="shared" si="3"/>
        <v>125.70431282969227</v>
      </c>
      <c r="O32" s="14">
        <f t="shared" si="4"/>
        <v>0</v>
      </c>
      <c r="P32" s="15">
        <f t="shared" si="5"/>
        <v>-5.6516193736975708</v>
      </c>
      <c r="Q32" s="225">
        <f t="shared" si="6"/>
        <v>0.95697476863894748</v>
      </c>
      <c r="R32" s="615"/>
      <c r="S32" s="34"/>
      <c r="T32" s="34"/>
      <c r="U32" s="12"/>
      <c r="V32" s="229"/>
      <c r="W32" s="12"/>
      <c r="X32" s="12"/>
      <c r="Y32" s="24">
        <f>SUM(Y24:Y31)</f>
        <v>0</v>
      </c>
      <c r="Z32" s="24">
        <f>SUM(Z24:Z31)</f>
        <v>0</v>
      </c>
      <c r="AA32" s="614"/>
      <c r="AB32" s="614"/>
      <c r="AC32" s="24">
        <v>8</v>
      </c>
      <c r="AD32" s="24">
        <f>SUM(AD24:AD31)</f>
        <v>0</v>
      </c>
      <c r="AE32" s="14">
        <f t="shared" si="8"/>
        <v>-83.361385762038935</v>
      </c>
      <c r="AF32" s="225">
        <f t="shared" si="9"/>
        <v>0.95697476863894759</v>
      </c>
      <c r="AG32" s="615"/>
    </row>
    <row r="33" spans="1:33" ht="15.75" customHeight="1">
      <c r="A33" s="641" t="s">
        <v>940</v>
      </c>
      <c r="B33" s="29" t="s">
        <v>32</v>
      </c>
      <c r="C33" s="640" t="s">
        <v>33</v>
      </c>
      <c r="D33" s="640"/>
      <c r="E33" s="29">
        <v>31.29</v>
      </c>
      <c r="F33" s="230">
        <v>6400</v>
      </c>
      <c r="G33" s="226">
        <f t="shared" ref="G33:G40" si="23">E33*F33</f>
        <v>200256</v>
      </c>
      <c r="H33" s="33">
        <v>2</v>
      </c>
      <c r="I33" s="228">
        <v>18</v>
      </c>
      <c r="J33" s="31">
        <v>2400</v>
      </c>
      <c r="K33" s="12">
        <f t="shared" si="1"/>
        <v>133.33333333333334</v>
      </c>
      <c r="L33" s="228">
        <v>18</v>
      </c>
      <c r="M33" s="13">
        <f t="shared" ref="M33:M40" si="24">F33/V33*60</f>
        <v>2285.7142857142858</v>
      </c>
      <c r="N33" s="12">
        <f t="shared" si="3"/>
        <v>126.98412698412699</v>
      </c>
      <c r="O33" s="14">
        <f t="shared" si="4"/>
        <v>0</v>
      </c>
      <c r="P33" s="15">
        <f t="shared" si="5"/>
        <v>-6.3492063492063551</v>
      </c>
      <c r="Q33" s="225">
        <f t="shared" si="6"/>
        <v>0.95238095238095233</v>
      </c>
      <c r="R33" s="615">
        <f>Q41</f>
        <v>0.95483457208922096</v>
      </c>
      <c r="S33" s="34">
        <v>8.3333333333333329E-2</v>
      </c>
      <c r="T33" s="34">
        <v>0.19999999999999998</v>
      </c>
      <c r="U33" s="226"/>
      <c r="V33" s="229">
        <f t="shared" ref="V33:V40" si="25">(T33-S33)*24*60</f>
        <v>168</v>
      </c>
      <c r="W33" s="16">
        <f>T33</f>
        <v>0.19999999999999998</v>
      </c>
      <c r="X33" s="16">
        <f>S34</f>
        <v>0.21874999999999997</v>
      </c>
      <c r="Y33" s="16"/>
      <c r="Z33" s="16"/>
      <c r="AA33" s="617"/>
      <c r="AB33" s="617"/>
      <c r="AC33" s="35">
        <v>8</v>
      </c>
      <c r="AD33" s="18"/>
      <c r="AE33" s="14">
        <f t="shared" si="8"/>
        <v>-114.28571428571422</v>
      </c>
      <c r="AF33" s="225">
        <f t="shared" si="9"/>
        <v>0.95238095238095244</v>
      </c>
      <c r="AG33" s="615">
        <f>AF41</f>
        <v>0.95483457208922096</v>
      </c>
    </row>
    <row r="34" spans="1:33" ht="15.75" customHeight="1">
      <c r="A34" s="641" t="s">
        <v>940</v>
      </c>
      <c r="B34" s="29" t="s">
        <v>32</v>
      </c>
      <c r="C34" s="640" t="s">
        <v>34</v>
      </c>
      <c r="D34" s="640"/>
      <c r="E34" s="29">
        <v>26.37</v>
      </c>
      <c r="F34" s="230">
        <v>4200</v>
      </c>
      <c r="G34" s="226">
        <f t="shared" si="23"/>
        <v>110754</v>
      </c>
      <c r="H34" s="33">
        <v>2</v>
      </c>
      <c r="I34" s="228">
        <v>18</v>
      </c>
      <c r="J34" s="31">
        <v>2400</v>
      </c>
      <c r="K34" s="12">
        <f t="shared" si="1"/>
        <v>133.33333333333334</v>
      </c>
      <c r="L34" s="228">
        <v>18</v>
      </c>
      <c r="M34" s="13">
        <f t="shared" si="24"/>
        <v>2290.9090909090914</v>
      </c>
      <c r="N34" s="12">
        <f t="shared" si="3"/>
        <v>127.27272727272731</v>
      </c>
      <c r="O34" s="14">
        <f t="shared" si="4"/>
        <v>0</v>
      </c>
      <c r="P34" s="15">
        <f t="shared" si="5"/>
        <v>-6.0606060606060339</v>
      </c>
      <c r="Q34" s="225">
        <f t="shared" si="6"/>
        <v>0.9545454545454547</v>
      </c>
      <c r="R34" s="615"/>
      <c r="S34" s="34">
        <v>0.21874999999999997</v>
      </c>
      <c r="T34" s="34">
        <v>0.29513888888888884</v>
      </c>
      <c r="U34" s="226">
        <f t="shared" ref="U34:U40" si="26">(S34-T33)*24*60</f>
        <v>26.999999999999986</v>
      </c>
      <c r="V34" s="229">
        <f t="shared" si="25"/>
        <v>109.99999999999997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-109.09090909090855</v>
      </c>
      <c r="AF34" s="225">
        <f t="shared" si="9"/>
        <v>0.95454545454545481</v>
      </c>
      <c r="AG34" s="615"/>
    </row>
    <row r="35" spans="1:33" ht="15.75" customHeight="1">
      <c r="A35" s="641" t="s">
        <v>940</v>
      </c>
      <c r="B35" s="29" t="s">
        <v>32</v>
      </c>
      <c r="C35" s="640" t="s">
        <v>76</v>
      </c>
      <c r="D35" s="640"/>
      <c r="E35" s="29">
        <v>26.18</v>
      </c>
      <c r="F35" s="230">
        <v>3300</v>
      </c>
      <c r="G35" s="226">
        <f t="shared" si="23"/>
        <v>86394</v>
      </c>
      <c r="H35" s="33">
        <v>2</v>
      </c>
      <c r="I35" s="228">
        <v>18</v>
      </c>
      <c r="J35" s="31">
        <v>2400</v>
      </c>
      <c r="K35" s="12">
        <f t="shared" si="1"/>
        <v>133.33333333333334</v>
      </c>
      <c r="L35" s="228">
        <v>18</v>
      </c>
      <c r="M35" s="13">
        <f t="shared" si="24"/>
        <v>2302.3255813953483</v>
      </c>
      <c r="N35" s="12">
        <f t="shared" si="3"/>
        <v>127.90697674418601</v>
      </c>
      <c r="O35" s="14">
        <f t="shared" si="4"/>
        <v>0</v>
      </c>
      <c r="P35" s="15">
        <f t="shared" si="5"/>
        <v>-5.426356589147332</v>
      </c>
      <c r="Q35" s="225">
        <f t="shared" si="6"/>
        <v>0.95930232558139505</v>
      </c>
      <c r="R35" s="615"/>
      <c r="S35" s="34">
        <v>0.29861111111111105</v>
      </c>
      <c r="T35" s="34">
        <v>0.35833333333333328</v>
      </c>
      <c r="U35" s="226">
        <f t="shared" si="26"/>
        <v>4.9999999999999822</v>
      </c>
      <c r="V35" s="229">
        <f t="shared" si="25"/>
        <v>86.000000000000014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-97.674418604651692</v>
      </c>
      <c r="AF35" s="225">
        <f t="shared" si="9"/>
        <v>0.95930232558139517</v>
      </c>
      <c r="AG35" s="615"/>
    </row>
    <row r="36" spans="1:33" ht="15.75" customHeight="1">
      <c r="A36" s="641" t="s">
        <v>940</v>
      </c>
      <c r="B36" s="29" t="s">
        <v>32</v>
      </c>
      <c r="C36" s="640" t="s">
        <v>35</v>
      </c>
      <c r="D36" s="640"/>
      <c r="E36" s="29">
        <v>25.99</v>
      </c>
      <c r="F36" s="230">
        <v>4621</v>
      </c>
      <c r="G36" s="226">
        <f t="shared" si="23"/>
        <v>120099.79</v>
      </c>
      <c r="H36" s="33" t="s">
        <v>57</v>
      </c>
      <c r="I36" s="228">
        <v>14</v>
      </c>
      <c r="J36" s="31">
        <v>2400</v>
      </c>
      <c r="K36" s="12">
        <f t="shared" si="1"/>
        <v>171.42857142857142</v>
      </c>
      <c r="L36" s="228">
        <v>14</v>
      </c>
      <c r="M36" s="13">
        <f t="shared" si="24"/>
        <v>2291.4049586776864</v>
      </c>
      <c r="N36" s="12">
        <f t="shared" si="3"/>
        <v>163.67178276269189</v>
      </c>
      <c r="O36" s="14">
        <f t="shared" si="4"/>
        <v>0</v>
      </c>
      <c r="P36" s="15">
        <f t="shared" si="5"/>
        <v>-7.756788665879526</v>
      </c>
      <c r="Q36" s="225">
        <f t="shared" si="6"/>
        <v>0.95475206611570274</v>
      </c>
      <c r="R36" s="615"/>
      <c r="S36" s="34">
        <v>0.36319444444444438</v>
      </c>
      <c r="T36" s="34">
        <v>0.44722222222222213</v>
      </c>
      <c r="U36" s="226">
        <f t="shared" si="26"/>
        <v>6.9999999999999751</v>
      </c>
      <c r="V36" s="229">
        <f t="shared" si="25"/>
        <v>120.99999999999997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-108.59504132231359</v>
      </c>
      <c r="AF36" s="225">
        <f t="shared" si="9"/>
        <v>0.95475206611570262</v>
      </c>
      <c r="AG36" s="615"/>
    </row>
    <row r="37" spans="1:33" ht="15.75" customHeight="1">
      <c r="A37" s="641" t="s">
        <v>940</v>
      </c>
      <c r="B37" s="29" t="s">
        <v>32</v>
      </c>
      <c r="C37" s="640" t="s">
        <v>36</v>
      </c>
      <c r="D37" s="640"/>
      <c r="E37" s="29">
        <v>20.36</v>
      </c>
      <c r="F37" s="230">
        <v>2900</v>
      </c>
      <c r="G37" s="226">
        <f t="shared" si="23"/>
        <v>59044</v>
      </c>
      <c r="H37" s="33">
        <v>2</v>
      </c>
      <c r="I37" s="228">
        <v>17</v>
      </c>
      <c r="J37" s="31">
        <v>2400</v>
      </c>
      <c r="K37" s="12">
        <f t="shared" si="1"/>
        <v>141.1764705882353</v>
      </c>
      <c r="L37" s="228">
        <v>17</v>
      </c>
      <c r="M37" s="13">
        <f t="shared" si="24"/>
        <v>2289.4736842105272</v>
      </c>
      <c r="N37" s="12">
        <f t="shared" si="3"/>
        <v>134.67492260061925</v>
      </c>
      <c r="O37" s="14">
        <f t="shared" si="4"/>
        <v>0</v>
      </c>
      <c r="P37" s="15">
        <f t="shared" si="5"/>
        <v>-6.5015479876160498</v>
      </c>
      <c r="Q37" s="225">
        <f t="shared" si="6"/>
        <v>0.95394736842105299</v>
      </c>
      <c r="R37" s="615"/>
      <c r="S37" s="34">
        <v>0.45138888888888878</v>
      </c>
      <c r="T37" s="34">
        <v>0.50416666666666654</v>
      </c>
      <c r="U37" s="226">
        <f t="shared" si="26"/>
        <v>5.9999999999999787</v>
      </c>
      <c r="V37" s="229">
        <f t="shared" si="25"/>
        <v>75.999999999999972</v>
      </c>
      <c r="W37" s="16">
        <f>T37</f>
        <v>0.50416666666666654</v>
      </c>
      <c r="X37" s="16">
        <f>S38</f>
        <v>0.54444444444444429</v>
      </c>
      <c r="Y37" s="16"/>
      <c r="Z37" s="16"/>
      <c r="AA37" s="617"/>
      <c r="AB37" s="617"/>
      <c r="AC37" s="35"/>
      <c r="AD37" s="18"/>
      <c r="AE37" s="14">
        <f t="shared" si="8"/>
        <v>-110.52631578947285</v>
      </c>
      <c r="AF37" s="225">
        <f t="shared" si="9"/>
        <v>0.95394736842105299</v>
      </c>
      <c r="AG37" s="615"/>
    </row>
    <row r="38" spans="1:33" ht="15.75" customHeight="1">
      <c r="A38" s="641" t="s">
        <v>940</v>
      </c>
      <c r="B38" s="29" t="s">
        <v>32</v>
      </c>
      <c r="C38" s="640" t="s">
        <v>76</v>
      </c>
      <c r="D38" s="640"/>
      <c r="E38" s="29">
        <v>26.18</v>
      </c>
      <c r="F38" s="230">
        <v>4990</v>
      </c>
      <c r="G38" s="226">
        <f t="shared" si="23"/>
        <v>130638.2</v>
      </c>
      <c r="H38" s="33" t="s">
        <v>57</v>
      </c>
      <c r="I38" s="228">
        <v>18</v>
      </c>
      <c r="J38" s="31">
        <v>2400</v>
      </c>
      <c r="K38" s="12">
        <f t="shared" si="1"/>
        <v>133.33333333333334</v>
      </c>
      <c r="L38" s="228">
        <v>18</v>
      </c>
      <c r="M38" s="13">
        <f t="shared" si="24"/>
        <v>2285.4961832061067</v>
      </c>
      <c r="N38" s="12">
        <f t="shared" si="3"/>
        <v>126.97201017811705</v>
      </c>
      <c r="O38" s="14">
        <f t="shared" si="4"/>
        <v>0</v>
      </c>
      <c r="P38" s="15">
        <f t="shared" si="5"/>
        <v>-6.3613231552162972</v>
      </c>
      <c r="Q38" s="225">
        <f t="shared" si="6"/>
        <v>0.95229007633587781</v>
      </c>
      <c r="R38" s="615"/>
      <c r="S38" s="34">
        <v>0.54444444444444429</v>
      </c>
      <c r="T38" s="34">
        <v>0.63541666666666652</v>
      </c>
      <c r="U38" s="226">
        <f t="shared" si="26"/>
        <v>57.999999999999957</v>
      </c>
      <c r="V38" s="229">
        <f t="shared" si="25"/>
        <v>131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-114.50381679389329</v>
      </c>
      <c r="AF38" s="225">
        <f t="shared" si="9"/>
        <v>0.95229007633587781</v>
      </c>
      <c r="AG38" s="615"/>
    </row>
    <row r="39" spans="1:33" ht="15.75" customHeight="1">
      <c r="A39" s="641" t="s">
        <v>940</v>
      </c>
      <c r="B39" s="29" t="s">
        <v>32</v>
      </c>
      <c r="C39" s="640" t="s">
        <v>33</v>
      </c>
      <c r="D39" s="640"/>
      <c r="E39" s="29">
        <v>31.29</v>
      </c>
      <c r="F39" s="230">
        <v>4591</v>
      </c>
      <c r="G39" s="226">
        <f t="shared" si="23"/>
        <v>143652.38999999998</v>
      </c>
      <c r="H39" s="33" t="s">
        <v>57</v>
      </c>
      <c r="I39" s="228">
        <v>18</v>
      </c>
      <c r="J39" s="31">
        <v>2400</v>
      </c>
      <c r="K39" s="12">
        <f t="shared" si="1"/>
        <v>133.33333333333334</v>
      </c>
      <c r="L39" s="228">
        <v>18</v>
      </c>
      <c r="M39" s="13">
        <f t="shared" si="24"/>
        <v>2295.4999999999991</v>
      </c>
      <c r="N39" s="12">
        <f t="shared" si="3"/>
        <v>127.52777777777773</v>
      </c>
      <c r="O39" s="14">
        <f t="shared" si="4"/>
        <v>0</v>
      </c>
      <c r="P39" s="15">
        <f t="shared" si="5"/>
        <v>-5.805555555555614</v>
      </c>
      <c r="Q39" s="225">
        <f t="shared" si="6"/>
        <v>0.95645833333333286</v>
      </c>
      <c r="R39" s="615"/>
      <c r="S39" s="34">
        <v>0.63888888888888873</v>
      </c>
      <c r="T39" s="34">
        <v>0.7222222222222221</v>
      </c>
      <c r="U39" s="226">
        <f t="shared" si="26"/>
        <v>4.9999999999999822</v>
      </c>
      <c r="V39" s="229">
        <f t="shared" si="25"/>
        <v>120.00000000000006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-104.50000000000091</v>
      </c>
      <c r="AF39" s="225">
        <f t="shared" si="9"/>
        <v>0.95645833333333297</v>
      </c>
      <c r="AG39" s="615"/>
    </row>
    <row r="40" spans="1:33" ht="15.75" customHeight="1">
      <c r="A40" s="641" t="s">
        <v>940</v>
      </c>
      <c r="B40" s="29" t="s">
        <v>32</v>
      </c>
      <c r="C40" s="232" t="s">
        <v>34</v>
      </c>
      <c r="D40" s="233"/>
      <c r="E40" s="29">
        <v>26.37</v>
      </c>
      <c r="F40" s="230">
        <v>2865</v>
      </c>
      <c r="G40" s="226">
        <f t="shared" si="23"/>
        <v>75550.05</v>
      </c>
      <c r="H40" s="33" t="s">
        <v>57</v>
      </c>
      <c r="I40" s="228">
        <v>18</v>
      </c>
      <c r="J40" s="31">
        <v>2400</v>
      </c>
      <c r="K40" s="12">
        <f t="shared" si="1"/>
        <v>133.33333333333334</v>
      </c>
      <c r="L40" s="228">
        <v>18</v>
      </c>
      <c r="M40" s="13">
        <f t="shared" si="24"/>
        <v>2291.9999999999986</v>
      </c>
      <c r="N40" s="12">
        <f t="shared" si="3"/>
        <v>127.33333333333326</v>
      </c>
      <c r="O40" s="14">
        <f t="shared" si="4"/>
        <v>0</v>
      </c>
      <c r="P40" s="15">
        <f t="shared" si="5"/>
        <v>-6.0000000000000853</v>
      </c>
      <c r="Q40" s="225">
        <f t="shared" si="6"/>
        <v>0.9549999999999994</v>
      </c>
      <c r="R40" s="615"/>
      <c r="S40" s="34">
        <v>0.72708333333333319</v>
      </c>
      <c r="T40" s="34">
        <v>0.77916666666666656</v>
      </c>
      <c r="U40" s="226">
        <f t="shared" si="26"/>
        <v>6.9999999999999751</v>
      </c>
      <c r="V40" s="229">
        <f t="shared" si="25"/>
        <v>75.000000000000057</v>
      </c>
      <c r="W40" s="16"/>
      <c r="X40" s="16"/>
      <c r="Y40" s="16"/>
      <c r="Z40" s="16"/>
      <c r="AA40" s="221"/>
      <c r="AB40" s="222"/>
      <c r="AC40" s="35"/>
      <c r="AD40" s="18"/>
      <c r="AE40" s="14">
        <f t="shared" si="8"/>
        <v>-108.00000000000136</v>
      </c>
      <c r="AF40" s="225">
        <f t="shared" si="9"/>
        <v>0.9549999999999994</v>
      </c>
      <c r="AG40" s="615"/>
    </row>
    <row r="41" spans="1:33" ht="15.75" customHeight="1">
      <c r="A41" s="641" t="s">
        <v>940</v>
      </c>
      <c r="B41" s="29" t="s">
        <v>935</v>
      </c>
      <c r="C41" s="618"/>
      <c r="D41" s="618"/>
      <c r="E41" s="227"/>
      <c r="F41" s="230"/>
      <c r="G41" s="226"/>
      <c r="H41" s="230"/>
      <c r="I41" s="23">
        <v>17.375</v>
      </c>
      <c r="J41" s="31">
        <v>2400</v>
      </c>
      <c r="K41" s="12">
        <f t="shared" si="1"/>
        <v>138.12949640287769</v>
      </c>
      <c r="L41" s="23">
        <v>17.375</v>
      </c>
      <c r="M41" s="13">
        <f>AVERAGE(M33:M40)</f>
        <v>2291.6029730141304</v>
      </c>
      <c r="N41" s="12">
        <f t="shared" si="3"/>
        <v>131.8908185907413</v>
      </c>
      <c r="O41" s="14">
        <f t="shared" si="4"/>
        <v>0</v>
      </c>
      <c r="P41" s="15">
        <f t="shared" si="5"/>
        <v>-6.2386778121363875</v>
      </c>
      <c r="Q41" s="225">
        <f t="shared" si="6"/>
        <v>0.95483457208922096</v>
      </c>
      <c r="R41" s="615"/>
      <c r="S41" s="34"/>
      <c r="T41" s="34"/>
      <c r="U41" s="226"/>
      <c r="V41" s="229"/>
      <c r="W41" s="226"/>
      <c r="X41" s="226"/>
      <c r="Y41" s="24">
        <f>SUM(Y33:Y40)</f>
        <v>0</v>
      </c>
      <c r="Z41" s="24">
        <f>SUM(Z33:Z40)</f>
        <v>0</v>
      </c>
      <c r="AA41" s="614"/>
      <c r="AB41" s="614"/>
      <c r="AC41" s="24">
        <v>8</v>
      </c>
      <c r="AD41" s="24">
        <f>SUM(AD33:AD40)</f>
        <v>0</v>
      </c>
      <c r="AE41" s="14">
        <f t="shared" si="8"/>
        <v>-108.39702698586962</v>
      </c>
      <c r="AF41" s="225">
        <f t="shared" si="9"/>
        <v>0.95483457208922096</v>
      </c>
      <c r="AG41" s="615"/>
    </row>
    <row r="42" spans="1:33" ht="15.75" customHeight="1">
      <c r="A42" s="638" t="s">
        <v>362</v>
      </c>
      <c r="B42" s="29" t="s">
        <v>32</v>
      </c>
      <c r="C42" s="616" t="s">
        <v>77</v>
      </c>
      <c r="D42" s="616"/>
      <c r="E42" s="29">
        <v>26.18</v>
      </c>
      <c r="F42" s="230">
        <v>3800</v>
      </c>
      <c r="G42" s="226">
        <f t="shared" ref="G42:G49" si="27">E42*F42</f>
        <v>99484</v>
      </c>
      <c r="H42" s="33">
        <v>2</v>
      </c>
      <c r="I42" s="228">
        <v>20</v>
      </c>
      <c r="J42" s="31">
        <v>2400</v>
      </c>
      <c r="K42" s="12">
        <f t="shared" si="1"/>
        <v>120</v>
      </c>
      <c r="L42" s="228">
        <v>20</v>
      </c>
      <c r="M42" s="13">
        <f t="shared" ref="M42:M49" si="28">F42/V42*60</f>
        <v>2279.9999999999995</v>
      </c>
      <c r="N42" s="12">
        <f t="shared" si="3"/>
        <v>113.99999999999997</v>
      </c>
      <c r="O42" s="14">
        <f t="shared" si="4"/>
        <v>0</v>
      </c>
      <c r="P42" s="15">
        <f t="shared" si="5"/>
        <v>-6.0000000000000284</v>
      </c>
      <c r="Q42" s="225">
        <f t="shared" si="6"/>
        <v>0.94999999999999973</v>
      </c>
      <c r="R42" s="615">
        <f>Q50</f>
        <v>0.9537899066826826</v>
      </c>
      <c r="S42" s="34">
        <v>8.3333333333333329E-2</v>
      </c>
      <c r="T42" s="34">
        <v>0.15277777777777779</v>
      </c>
      <c r="U42" s="226"/>
      <c r="V42" s="229">
        <f t="shared" ref="V42:V49" si="29">(T42-S42)*24*60</f>
        <v>100.00000000000001</v>
      </c>
      <c r="W42" s="21">
        <f>T42</f>
        <v>0.15277777777777779</v>
      </c>
      <c r="X42" s="21">
        <f>S43</f>
        <v>0.17013888888888887</v>
      </c>
      <c r="Y42" s="21"/>
      <c r="Z42" s="21"/>
      <c r="AA42" s="617"/>
      <c r="AB42" s="617"/>
      <c r="AC42" s="35">
        <v>8</v>
      </c>
      <c r="AD42" s="18"/>
      <c r="AE42" s="14">
        <f t="shared" si="8"/>
        <v>-120.00000000000045</v>
      </c>
      <c r="AF42" s="225">
        <f t="shared" si="9"/>
        <v>0.94999999999999984</v>
      </c>
      <c r="AG42" s="615">
        <f>AF50</f>
        <v>0.9537899066826826</v>
      </c>
    </row>
    <row r="43" spans="1:33" ht="15.75" customHeight="1">
      <c r="A43" s="638" t="s">
        <v>941</v>
      </c>
      <c r="B43" s="29" t="s">
        <v>32</v>
      </c>
      <c r="C43" s="616" t="s">
        <v>37</v>
      </c>
      <c r="D43" s="616"/>
      <c r="E43" s="29">
        <v>24.43</v>
      </c>
      <c r="F43" s="230">
        <v>4200</v>
      </c>
      <c r="G43" s="226">
        <f t="shared" si="27"/>
        <v>102606</v>
      </c>
      <c r="H43" s="33">
        <v>2</v>
      </c>
      <c r="I43" s="228">
        <v>14</v>
      </c>
      <c r="J43" s="31">
        <v>2400</v>
      </c>
      <c r="K43" s="12">
        <f t="shared" si="1"/>
        <v>171.42857142857142</v>
      </c>
      <c r="L43" s="228">
        <v>14</v>
      </c>
      <c r="M43" s="13">
        <f t="shared" si="28"/>
        <v>2290.9090909090914</v>
      </c>
      <c r="N43" s="12">
        <f t="shared" si="3"/>
        <v>163.63636363636368</v>
      </c>
      <c r="O43" s="14">
        <f t="shared" si="4"/>
        <v>0</v>
      </c>
      <c r="P43" s="15">
        <f t="shared" si="5"/>
        <v>-7.7922077922077335</v>
      </c>
      <c r="Q43" s="225">
        <f t="shared" si="6"/>
        <v>0.95454545454545492</v>
      </c>
      <c r="R43" s="615"/>
      <c r="S43" s="34">
        <v>0.17013888888888887</v>
      </c>
      <c r="T43" s="34">
        <v>0.24652777777777773</v>
      </c>
      <c r="U43" s="226">
        <f t="shared" ref="U43:U49" si="30">(S43-T42)*24*60</f>
        <v>24.99999999999995</v>
      </c>
      <c r="V43" s="229">
        <f t="shared" si="29"/>
        <v>109.99999999999997</v>
      </c>
      <c r="W43" s="226"/>
      <c r="X43" s="226"/>
      <c r="Y43" s="226"/>
      <c r="Z43" s="226"/>
      <c r="AA43" s="617"/>
      <c r="AB43" s="617"/>
      <c r="AC43" s="35"/>
      <c r="AD43" s="18"/>
      <c r="AE43" s="14">
        <f t="shared" si="8"/>
        <v>-109.09090909090855</v>
      </c>
      <c r="AF43" s="225">
        <f t="shared" si="9"/>
        <v>0.95454545454545481</v>
      </c>
      <c r="AG43" s="615"/>
    </row>
    <row r="44" spans="1:33">
      <c r="A44" s="639" t="s">
        <v>941</v>
      </c>
      <c r="B44" s="29" t="s">
        <v>32</v>
      </c>
      <c r="C44" s="616" t="s">
        <v>38</v>
      </c>
      <c r="D44" s="616"/>
      <c r="E44" s="29">
        <v>25.98</v>
      </c>
      <c r="F44" s="230">
        <v>3578</v>
      </c>
      <c r="G44" s="226">
        <f t="shared" si="27"/>
        <v>92956.44</v>
      </c>
      <c r="H44" s="33" t="s">
        <v>57</v>
      </c>
      <c r="I44" s="228">
        <v>21</v>
      </c>
      <c r="J44" s="31">
        <v>2400</v>
      </c>
      <c r="K44" s="12">
        <f t="shared" si="1"/>
        <v>114.28571428571429</v>
      </c>
      <c r="L44" s="228">
        <v>21</v>
      </c>
      <c r="M44" s="13">
        <f t="shared" si="28"/>
        <v>2283.8297872340431</v>
      </c>
      <c r="N44" s="12">
        <f t="shared" si="3"/>
        <v>108.75379939209729</v>
      </c>
      <c r="O44" s="14">
        <f t="shared" si="4"/>
        <v>0</v>
      </c>
      <c r="P44" s="15">
        <f t="shared" si="5"/>
        <v>-5.5319148936169995</v>
      </c>
      <c r="Q44" s="225">
        <f t="shared" si="6"/>
        <v>0.95159574468085129</v>
      </c>
      <c r="R44" s="615"/>
      <c r="S44" s="34">
        <v>0.25069444444444439</v>
      </c>
      <c r="T44" s="34">
        <v>0.31597222222222215</v>
      </c>
      <c r="U44" s="226">
        <f t="shared" si="30"/>
        <v>5.9999999999999787</v>
      </c>
      <c r="V44" s="229">
        <f t="shared" si="29"/>
        <v>93.999999999999986</v>
      </c>
      <c r="W44" s="226"/>
      <c r="X44" s="226"/>
      <c r="Y44" s="226"/>
      <c r="Z44" s="226"/>
      <c r="AA44" s="617"/>
      <c r="AB44" s="617"/>
      <c r="AC44" s="35"/>
      <c r="AD44" s="18"/>
      <c r="AE44" s="14">
        <f t="shared" si="8"/>
        <v>-116.17021276595688</v>
      </c>
      <c r="AF44" s="225">
        <f t="shared" si="9"/>
        <v>0.95159574468085129</v>
      </c>
      <c r="AG44" s="615"/>
    </row>
    <row r="45" spans="1:33">
      <c r="A45" s="639" t="s">
        <v>941</v>
      </c>
      <c r="B45" s="29" t="s">
        <v>32</v>
      </c>
      <c r="C45" s="616" t="s">
        <v>39</v>
      </c>
      <c r="D45" s="616"/>
      <c r="E45" s="29">
        <v>34.1</v>
      </c>
      <c r="F45" s="230">
        <v>3700</v>
      </c>
      <c r="G45" s="226">
        <f t="shared" si="27"/>
        <v>126170</v>
      </c>
      <c r="H45" s="33">
        <v>2</v>
      </c>
      <c r="I45" s="228">
        <v>17</v>
      </c>
      <c r="J45" s="31">
        <v>1600</v>
      </c>
      <c r="K45" s="12">
        <f t="shared" si="1"/>
        <v>94.117647058823536</v>
      </c>
      <c r="L45" s="228">
        <v>17</v>
      </c>
      <c r="M45" s="13">
        <f t="shared" si="28"/>
        <v>1531.0344827586209</v>
      </c>
      <c r="N45" s="12">
        <f t="shared" si="3"/>
        <v>90.060851926977705</v>
      </c>
      <c r="O45" s="14">
        <f t="shared" si="4"/>
        <v>0</v>
      </c>
      <c r="P45" s="15">
        <f t="shared" si="5"/>
        <v>-4.0567951318458313</v>
      </c>
      <c r="Q45" s="225">
        <f t="shared" si="6"/>
        <v>0.95689655172413801</v>
      </c>
      <c r="R45" s="615"/>
      <c r="S45" s="34">
        <v>0.32013888888888881</v>
      </c>
      <c r="T45" s="34">
        <v>0.42083333333333323</v>
      </c>
      <c r="U45" s="226">
        <f t="shared" si="30"/>
        <v>5.9999999999999787</v>
      </c>
      <c r="V45" s="229">
        <f t="shared" si="29"/>
        <v>144.99999999999997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-68.965517241379075</v>
      </c>
      <c r="AF45" s="225">
        <f t="shared" si="9"/>
        <v>0.95689655172413812</v>
      </c>
      <c r="AG45" s="615"/>
    </row>
    <row r="46" spans="1:33">
      <c r="A46" s="639" t="s">
        <v>941</v>
      </c>
      <c r="B46" s="29" t="s">
        <v>32</v>
      </c>
      <c r="C46" s="616" t="s">
        <v>84</v>
      </c>
      <c r="D46" s="616"/>
      <c r="E46" s="29">
        <v>20.21</v>
      </c>
      <c r="F46" s="230">
        <v>4952</v>
      </c>
      <c r="G46" s="226">
        <f t="shared" si="27"/>
        <v>100079.92</v>
      </c>
      <c r="H46" s="33" t="s">
        <v>57</v>
      </c>
      <c r="I46" s="228">
        <v>18</v>
      </c>
      <c r="J46" s="31">
        <v>2400</v>
      </c>
      <c r="K46" s="12">
        <f t="shared" si="1"/>
        <v>133.33333333333334</v>
      </c>
      <c r="L46" s="228">
        <v>18</v>
      </c>
      <c r="M46" s="13">
        <f t="shared" si="28"/>
        <v>2285.5384615384623</v>
      </c>
      <c r="N46" s="12">
        <f t="shared" si="3"/>
        <v>126.97435897435902</v>
      </c>
      <c r="O46" s="14">
        <f t="shared" si="4"/>
        <v>0</v>
      </c>
      <c r="P46" s="15">
        <f t="shared" si="5"/>
        <v>-6.3589743589743222</v>
      </c>
      <c r="Q46" s="225">
        <f t="shared" si="6"/>
        <v>0.95230769230769263</v>
      </c>
      <c r="R46" s="615"/>
      <c r="S46" s="34">
        <v>0.42569444444444432</v>
      </c>
      <c r="T46" s="34">
        <v>0.51597222222222205</v>
      </c>
      <c r="U46" s="226">
        <f t="shared" si="30"/>
        <v>6.9999999999999751</v>
      </c>
      <c r="V46" s="229">
        <f t="shared" si="29"/>
        <v>129.99999999999994</v>
      </c>
      <c r="W46" s="16">
        <f>T46</f>
        <v>0.51597222222222205</v>
      </c>
      <c r="X46" s="16">
        <f>S47</f>
        <v>0.55694444444444424</v>
      </c>
      <c r="Y46" s="16"/>
      <c r="Z46" s="16"/>
      <c r="AA46" s="617"/>
      <c r="AB46" s="617"/>
      <c r="AC46" s="35"/>
      <c r="AD46" s="18"/>
      <c r="AE46" s="14">
        <f t="shared" si="8"/>
        <v>-114.46153846153766</v>
      </c>
      <c r="AF46" s="225">
        <f t="shared" si="9"/>
        <v>0.95230769230769263</v>
      </c>
      <c r="AG46" s="615"/>
    </row>
    <row r="47" spans="1:33">
      <c r="A47" s="639" t="s">
        <v>941</v>
      </c>
      <c r="B47" s="29" t="s">
        <v>32</v>
      </c>
      <c r="C47" s="616" t="s">
        <v>39</v>
      </c>
      <c r="D47" s="616"/>
      <c r="E47" s="29">
        <v>34.1</v>
      </c>
      <c r="F47" s="230">
        <v>3140</v>
      </c>
      <c r="G47" s="226">
        <f t="shared" si="27"/>
        <v>107074</v>
      </c>
      <c r="H47" s="33" t="s">
        <v>57</v>
      </c>
      <c r="I47" s="228">
        <v>17</v>
      </c>
      <c r="J47" s="31">
        <v>1600</v>
      </c>
      <c r="K47" s="12">
        <f t="shared" si="1"/>
        <v>94.117647058823536</v>
      </c>
      <c r="L47" s="228">
        <v>17</v>
      </c>
      <c r="M47" s="13">
        <f t="shared" si="28"/>
        <v>1531.7073170731703</v>
      </c>
      <c r="N47" s="12">
        <f t="shared" si="3"/>
        <v>90.100430416068846</v>
      </c>
      <c r="O47" s="14">
        <f t="shared" si="4"/>
        <v>0</v>
      </c>
      <c r="P47" s="15">
        <f t="shared" si="5"/>
        <v>-4.0172166427546898</v>
      </c>
      <c r="Q47" s="225">
        <f t="shared" si="6"/>
        <v>0.95731707317073145</v>
      </c>
      <c r="R47" s="615"/>
      <c r="S47" s="34">
        <v>0.55694444444444424</v>
      </c>
      <c r="T47" s="34">
        <v>0.64236111111111094</v>
      </c>
      <c r="U47" s="226">
        <f t="shared" si="30"/>
        <v>58.99999999999995</v>
      </c>
      <c r="V47" s="229">
        <f t="shared" si="29"/>
        <v>123.00000000000004</v>
      </c>
      <c r="W47" s="16"/>
      <c r="X47" s="16"/>
      <c r="Y47" s="16"/>
      <c r="Z47" s="16"/>
      <c r="AA47" s="617"/>
      <c r="AB47" s="617"/>
      <c r="AC47" s="35"/>
      <c r="AD47" s="18"/>
      <c r="AE47" s="14">
        <f t="shared" si="8"/>
        <v>-68.292682926829684</v>
      </c>
      <c r="AF47" s="225">
        <f t="shared" si="9"/>
        <v>0.95731707317073145</v>
      </c>
      <c r="AG47" s="615"/>
    </row>
    <row r="48" spans="1:33">
      <c r="A48" s="639" t="s">
        <v>941</v>
      </c>
      <c r="B48" s="29" t="s">
        <v>32</v>
      </c>
      <c r="C48" s="616" t="s">
        <v>37</v>
      </c>
      <c r="D48" s="616"/>
      <c r="E48" s="29">
        <v>24.43</v>
      </c>
      <c r="F48" s="230">
        <v>3288</v>
      </c>
      <c r="G48" s="226">
        <f t="shared" si="27"/>
        <v>80325.84</v>
      </c>
      <c r="H48" s="33" t="s">
        <v>57</v>
      </c>
      <c r="I48" s="228">
        <v>14</v>
      </c>
      <c r="J48" s="31">
        <v>2400</v>
      </c>
      <c r="K48" s="12">
        <f t="shared" si="1"/>
        <v>171.42857142857142</v>
      </c>
      <c r="L48" s="228">
        <v>14</v>
      </c>
      <c r="M48" s="13">
        <f t="shared" si="28"/>
        <v>2293.953488372093</v>
      </c>
      <c r="N48" s="12">
        <f t="shared" si="3"/>
        <v>163.85382059800665</v>
      </c>
      <c r="O48" s="14">
        <f t="shared" si="4"/>
        <v>0</v>
      </c>
      <c r="P48" s="15">
        <f t="shared" si="5"/>
        <v>-7.5747508305647671</v>
      </c>
      <c r="Q48" s="225">
        <f t="shared" si="6"/>
        <v>0.95581395348837217</v>
      </c>
      <c r="R48" s="615"/>
      <c r="S48" s="34">
        <v>0.64722222222222203</v>
      </c>
      <c r="T48" s="34">
        <v>0.70694444444444426</v>
      </c>
      <c r="U48" s="226">
        <f t="shared" si="30"/>
        <v>6.9999999999999751</v>
      </c>
      <c r="V48" s="229">
        <f t="shared" si="29"/>
        <v>86.000000000000014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-106.04651162790697</v>
      </c>
      <c r="AF48" s="225">
        <f t="shared" si="9"/>
        <v>0.95581395348837206</v>
      </c>
      <c r="AG48" s="615"/>
    </row>
    <row r="49" spans="1:33">
      <c r="A49" s="639" t="s">
        <v>942</v>
      </c>
      <c r="B49" s="29" t="s">
        <v>32</v>
      </c>
      <c r="C49" s="616" t="s">
        <v>77</v>
      </c>
      <c r="D49" s="616"/>
      <c r="E49" s="29">
        <v>26.18</v>
      </c>
      <c r="F49" s="230">
        <v>2824</v>
      </c>
      <c r="G49" s="226">
        <f t="shared" si="27"/>
        <v>73932.319999999992</v>
      </c>
      <c r="H49" s="33" t="s">
        <v>57</v>
      </c>
      <c r="I49" s="228">
        <v>20</v>
      </c>
      <c r="J49" s="31">
        <v>2400</v>
      </c>
      <c r="K49" s="12">
        <f t="shared" si="1"/>
        <v>120</v>
      </c>
      <c r="L49" s="228">
        <v>20</v>
      </c>
      <c r="M49" s="13">
        <f t="shared" si="28"/>
        <v>2289.7297297297282</v>
      </c>
      <c r="N49" s="12">
        <f t="shared" si="3"/>
        <v>114.48648648648641</v>
      </c>
      <c r="O49" s="14">
        <f t="shared" si="4"/>
        <v>0</v>
      </c>
      <c r="P49" s="15">
        <f t="shared" si="5"/>
        <v>-5.5135135135135869</v>
      </c>
      <c r="Q49" s="225">
        <f t="shared" si="6"/>
        <v>0.95405405405405341</v>
      </c>
      <c r="R49" s="615"/>
      <c r="S49" s="34">
        <v>0.7124999999999998</v>
      </c>
      <c r="T49" s="34">
        <v>0.76388888888888873</v>
      </c>
      <c r="U49" s="226">
        <f t="shared" si="30"/>
        <v>7.9999999999999716</v>
      </c>
      <c r="V49" s="229">
        <f t="shared" si="29"/>
        <v>74.000000000000057</v>
      </c>
      <c r="W49" s="16"/>
      <c r="X49" s="16"/>
      <c r="Y49" s="19"/>
      <c r="Z49" s="19"/>
      <c r="AA49" s="624"/>
      <c r="AB49" s="625"/>
      <c r="AC49" s="35"/>
      <c r="AD49" s="18"/>
      <c r="AE49" s="14">
        <f t="shared" si="8"/>
        <v>-110.27027027027179</v>
      </c>
      <c r="AF49" s="225">
        <f t="shared" si="9"/>
        <v>0.95405405405405341</v>
      </c>
      <c r="AG49" s="615"/>
    </row>
    <row r="50" spans="1:33">
      <c r="A50" s="639" t="s">
        <v>941</v>
      </c>
      <c r="B50" s="30" t="s">
        <v>935</v>
      </c>
      <c r="C50" s="618"/>
      <c r="D50" s="618"/>
      <c r="E50" s="227"/>
      <c r="F50" s="30"/>
      <c r="G50" s="12"/>
      <c r="H50" s="230"/>
      <c r="I50" s="23">
        <v>17.625</v>
      </c>
      <c r="J50" s="31">
        <v>2200</v>
      </c>
      <c r="K50" s="12">
        <f t="shared" si="1"/>
        <v>124.822695035461</v>
      </c>
      <c r="L50" s="23">
        <v>17.625</v>
      </c>
      <c r="M50" s="13">
        <f>AVERAGE(M42:M49)</f>
        <v>2098.3377947019017</v>
      </c>
      <c r="N50" s="12">
        <f t="shared" si="3"/>
        <v>119.05462664975329</v>
      </c>
      <c r="O50" s="14">
        <f t="shared" si="4"/>
        <v>0</v>
      </c>
      <c r="P50" s="15">
        <f t="shared" si="5"/>
        <v>-5.7680683857077071</v>
      </c>
      <c r="Q50" s="225">
        <f t="shared" si="6"/>
        <v>0.9537899066826826</v>
      </c>
      <c r="R50" s="615"/>
      <c r="S50" s="34"/>
      <c r="T50" s="34"/>
      <c r="U50" s="12"/>
      <c r="V50" s="229"/>
      <c r="W50" s="12"/>
      <c r="X50" s="12"/>
      <c r="Y50" s="24">
        <f>SUM(Y42:Y49)</f>
        <v>0</v>
      </c>
      <c r="Z50" s="24">
        <f>SUM(Z42:Z49)</f>
        <v>0</v>
      </c>
      <c r="AA50" s="614"/>
      <c r="AB50" s="614"/>
      <c r="AC50" s="24">
        <v>8</v>
      </c>
      <c r="AD50" s="24">
        <f>SUM(AD42:AD49)</f>
        <v>0</v>
      </c>
      <c r="AE50" s="14">
        <f t="shared" si="8"/>
        <v>-101.66220529809834</v>
      </c>
      <c r="AF50" s="225">
        <f t="shared" si="9"/>
        <v>0.9537899066826826</v>
      </c>
      <c r="AG50" s="615"/>
    </row>
    <row r="51" spans="1:33" ht="15.75" customHeight="1">
      <c r="A51" s="632" t="s">
        <v>943</v>
      </c>
      <c r="B51" s="29" t="s">
        <v>40</v>
      </c>
      <c r="C51" s="622" t="s">
        <v>41</v>
      </c>
      <c r="D51" s="623"/>
      <c r="E51" s="29">
        <v>37.880000000000003</v>
      </c>
      <c r="F51" s="230">
        <v>980</v>
      </c>
      <c r="G51" s="226">
        <f t="shared" ref="G51:G54" si="31">E51*F51</f>
        <v>37122.400000000001</v>
      </c>
      <c r="H51" s="33" t="s">
        <v>57</v>
      </c>
      <c r="I51" s="228">
        <v>13</v>
      </c>
      <c r="J51" s="31">
        <v>2000</v>
      </c>
      <c r="K51" s="12">
        <f t="shared" si="1"/>
        <v>153.84615384615384</v>
      </c>
      <c r="L51" s="228">
        <v>13</v>
      </c>
      <c r="M51" s="13">
        <f t="shared" ref="M51:M54" si="32">F51/V51*60</f>
        <v>1960.0000000000002</v>
      </c>
      <c r="N51" s="13">
        <f t="shared" si="3"/>
        <v>150.76923076923077</v>
      </c>
      <c r="O51" s="14">
        <f t="shared" si="4"/>
        <v>0</v>
      </c>
      <c r="P51" s="15">
        <f t="shared" si="5"/>
        <v>-3.076923076923066</v>
      </c>
      <c r="Q51" s="225">
        <f t="shared" si="6"/>
        <v>0.98000000000000009</v>
      </c>
      <c r="R51" s="635">
        <f>Q55</f>
        <v>0.95810033286432306</v>
      </c>
      <c r="S51" s="34">
        <v>8.3333333333333329E-2</v>
      </c>
      <c r="T51" s="34">
        <v>0.10416666666666666</v>
      </c>
      <c r="U51" s="21"/>
      <c r="V51" s="229">
        <f t="shared" ref="V51:V54" si="33">(T51-S51)*24*60</f>
        <v>29.999999999999993</v>
      </c>
      <c r="W51" s="16">
        <f>T51</f>
        <v>0.10416666666666666</v>
      </c>
      <c r="X51" s="16">
        <f>S52</f>
        <v>0.12430555555555554</v>
      </c>
      <c r="Y51" s="19"/>
      <c r="Z51" s="19"/>
      <c r="AA51" s="624"/>
      <c r="AB51" s="625"/>
      <c r="AC51" s="35">
        <v>4</v>
      </c>
      <c r="AD51" s="18"/>
      <c r="AE51" s="14">
        <f t="shared" si="8"/>
        <v>-39.999999999999773</v>
      </c>
      <c r="AF51" s="225">
        <f t="shared" si="9"/>
        <v>0.98000000000000009</v>
      </c>
      <c r="AG51" s="635">
        <f>AF55</f>
        <v>0.95810033286432306</v>
      </c>
    </row>
    <row r="52" spans="1:33" ht="15.75" customHeight="1">
      <c r="A52" s="633" t="s">
        <v>943</v>
      </c>
      <c r="B52" s="29" t="s">
        <v>40</v>
      </c>
      <c r="C52" s="622" t="s">
        <v>42</v>
      </c>
      <c r="D52" s="623"/>
      <c r="E52" s="29">
        <v>35.119999999999997</v>
      </c>
      <c r="F52" s="230">
        <v>6060</v>
      </c>
      <c r="G52" s="226">
        <f t="shared" si="31"/>
        <v>212827.19999999998</v>
      </c>
      <c r="H52" s="33" t="s">
        <v>57</v>
      </c>
      <c r="I52" s="228">
        <v>10</v>
      </c>
      <c r="J52" s="31">
        <v>3000</v>
      </c>
      <c r="K52" s="12">
        <f t="shared" si="1"/>
        <v>300</v>
      </c>
      <c r="L52" s="228">
        <v>10</v>
      </c>
      <c r="M52" s="13">
        <f t="shared" si="32"/>
        <v>2862.9921259842522</v>
      </c>
      <c r="N52" s="13">
        <f t="shared" si="3"/>
        <v>286.29921259842524</v>
      </c>
      <c r="O52" s="14">
        <f t="shared" si="4"/>
        <v>0</v>
      </c>
      <c r="P52" s="15">
        <f t="shared" si="5"/>
        <v>-13.700787401574757</v>
      </c>
      <c r="Q52" s="225">
        <f t="shared" si="6"/>
        <v>0.95433070866141745</v>
      </c>
      <c r="R52" s="636"/>
      <c r="S52" s="34">
        <v>0.12430555555555554</v>
      </c>
      <c r="T52" s="34">
        <v>0.21249999999999999</v>
      </c>
      <c r="U52" s="226">
        <f t="shared" ref="U52:U54" si="34">(S52-T51)*24*60</f>
        <v>28.999999999999996</v>
      </c>
      <c r="V52" s="229">
        <f t="shared" si="33"/>
        <v>127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-137.0078740157478</v>
      </c>
      <c r="AF52" s="225">
        <f t="shared" si="9"/>
        <v>0.95433070866141745</v>
      </c>
      <c r="AG52" s="636"/>
    </row>
    <row r="53" spans="1:33" ht="15.75" customHeight="1">
      <c r="A53" s="633" t="s">
        <v>943</v>
      </c>
      <c r="B53" s="29" t="s">
        <v>40</v>
      </c>
      <c r="C53" s="622" t="s">
        <v>43</v>
      </c>
      <c r="D53" s="623"/>
      <c r="E53" s="29">
        <v>21.13</v>
      </c>
      <c r="F53" s="230">
        <v>5669</v>
      </c>
      <c r="G53" s="226">
        <f t="shared" si="31"/>
        <v>119785.97</v>
      </c>
      <c r="H53" s="33" t="s">
        <v>57</v>
      </c>
      <c r="I53" s="228">
        <v>10</v>
      </c>
      <c r="J53" s="31">
        <v>3000</v>
      </c>
      <c r="K53" s="12">
        <f t="shared" si="1"/>
        <v>300</v>
      </c>
      <c r="L53" s="228">
        <v>10</v>
      </c>
      <c r="M53" s="13">
        <f t="shared" si="32"/>
        <v>2858.3193277310925</v>
      </c>
      <c r="N53" s="13">
        <f t="shared" si="3"/>
        <v>285.83193277310926</v>
      </c>
      <c r="O53" s="14">
        <f t="shared" si="4"/>
        <v>0</v>
      </c>
      <c r="P53" s="15">
        <f t="shared" si="5"/>
        <v>-14.168067226890741</v>
      </c>
      <c r="Q53" s="225">
        <f t="shared" si="6"/>
        <v>0.95277310924369751</v>
      </c>
      <c r="R53" s="636"/>
      <c r="S53" s="34">
        <v>0.2159722222222222</v>
      </c>
      <c r="T53" s="34">
        <v>0.2986111111111111</v>
      </c>
      <c r="U53" s="226">
        <f t="shared" si="34"/>
        <v>4.9999999999999822</v>
      </c>
      <c r="V53" s="229">
        <f t="shared" si="33"/>
        <v>119.00000000000001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-141.68067226890753</v>
      </c>
      <c r="AF53" s="225">
        <f t="shared" si="9"/>
        <v>0.95277310924369751</v>
      </c>
      <c r="AG53" s="636"/>
    </row>
    <row r="54" spans="1:33" ht="15.75" customHeight="1">
      <c r="A54" s="633" t="s">
        <v>943</v>
      </c>
      <c r="B54" s="29" t="s">
        <v>40</v>
      </c>
      <c r="C54" s="622" t="s">
        <v>44</v>
      </c>
      <c r="D54" s="623"/>
      <c r="E54" s="29">
        <v>27.17</v>
      </c>
      <c r="F54" s="230">
        <v>7335</v>
      </c>
      <c r="G54" s="226">
        <f t="shared" si="31"/>
        <v>199291.95</v>
      </c>
      <c r="H54" s="33" t="s">
        <v>57</v>
      </c>
      <c r="I54" s="228">
        <v>10</v>
      </c>
      <c r="J54" s="31">
        <v>3000</v>
      </c>
      <c r="K54" s="12">
        <f t="shared" si="1"/>
        <v>300</v>
      </c>
      <c r="L54" s="228">
        <v>10</v>
      </c>
      <c r="M54" s="13">
        <f t="shared" si="32"/>
        <v>2857.7922077922076</v>
      </c>
      <c r="N54" s="13">
        <f t="shared" si="3"/>
        <v>285.77922077922074</v>
      </c>
      <c r="O54" s="14">
        <f t="shared" si="4"/>
        <v>0</v>
      </c>
      <c r="P54" s="15">
        <f t="shared" si="5"/>
        <v>-14.220779220779264</v>
      </c>
      <c r="Q54" s="225">
        <f t="shared" si="6"/>
        <v>0.95259740259740244</v>
      </c>
      <c r="R54" s="636"/>
      <c r="S54" s="34">
        <v>0.30277777777777776</v>
      </c>
      <c r="T54" s="34">
        <v>0.40972222222222221</v>
      </c>
      <c r="U54" s="226">
        <f t="shared" si="34"/>
        <v>5.9999999999999787</v>
      </c>
      <c r="V54" s="229">
        <f t="shared" si="33"/>
        <v>154</v>
      </c>
      <c r="W54" s="16"/>
      <c r="X54" s="16"/>
      <c r="Y54" s="19"/>
      <c r="Z54" s="19"/>
      <c r="AA54" s="624"/>
      <c r="AB54" s="625"/>
      <c r="AC54" s="35"/>
      <c r="AD54" s="18"/>
      <c r="AE54" s="14">
        <f t="shared" si="8"/>
        <v>-142.20779220779241</v>
      </c>
      <c r="AF54" s="225">
        <f t="shared" si="9"/>
        <v>0.95259740259740255</v>
      </c>
      <c r="AG54" s="636"/>
    </row>
    <row r="55" spans="1:33" ht="15.75" customHeight="1">
      <c r="A55" s="634" t="s">
        <v>943</v>
      </c>
      <c r="B55" s="29" t="s">
        <v>935</v>
      </c>
      <c r="C55" s="612"/>
      <c r="D55" s="613"/>
      <c r="E55" s="223"/>
      <c r="F55" s="230"/>
      <c r="G55" s="226"/>
      <c r="H55" s="230"/>
      <c r="I55" s="23">
        <v>10.75</v>
      </c>
      <c r="J55" s="31">
        <v>2750</v>
      </c>
      <c r="K55" s="12">
        <f t="shared" si="1"/>
        <v>255.81395348837211</v>
      </c>
      <c r="L55" s="23">
        <v>10.75</v>
      </c>
      <c r="M55" s="13">
        <f>AVERAGE(M51:M54)</f>
        <v>2634.7759153768884</v>
      </c>
      <c r="N55" s="12">
        <f t="shared" si="3"/>
        <v>245.09543398854777</v>
      </c>
      <c r="O55" s="14">
        <f t="shared" si="4"/>
        <v>0</v>
      </c>
      <c r="P55" s="15">
        <f t="shared" si="5"/>
        <v>-10.718519499824339</v>
      </c>
      <c r="Q55" s="225">
        <f t="shared" si="6"/>
        <v>0.95810033286432306</v>
      </c>
      <c r="R55" s="637"/>
      <c r="S55" s="34"/>
      <c r="T55" s="34"/>
      <c r="U55" s="226"/>
      <c r="V55" s="229"/>
      <c r="W55" s="16"/>
      <c r="X55" s="16"/>
      <c r="Y55" s="24">
        <f>SUM(Y51:Y54)</f>
        <v>0</v>
      </c>
      <c r="Z55" s="24">
        <f>SUM(Z51:Z54)</f>
        <v>0</v>
      </c>
      <c r="AA55" s="628"/>
      <c r="AB55" s="629"/>
      <c r="AC55" s="24">
        <v>4</v>
      </c>
      <c r="AD55" s="24">
        <f>SUM(AD51:AD54)</f>
        <v>0</v>
      </c>
      <c r="AE55" s="14">
        <f t="shared" si="8"/>
        <v>-115.22408462311159</v>
      </c>
      <c r="AF55" s="225">
        <f t="shared" si="9"/>
        <v>0.95810033286432306</v>
      </c>
      <c r="AG55" s="637"/>
    </row>
    <row r="56" spans="1:33" ht="15.75" customHeight="1">
      <c r="A56" s="630" t="s">
        <v>944</v>
      </c>
      <c r="B56" s="29" t="s">
        <v>15</v>
      </c>
      <c r="C56" s="616" t="s">
        <v>47</v>
      </c>
      <c r="D56" s="616"/>
      <c r="E56" s="29">
        <v>51.75</v>
      </c>
      <c r="F56" s="32">
        <v>964</v>
      </c>
      <c r="G56" s="226">
        <f t="shared" ref="G56:G65" si="35">E56*F56</f>
        <v>49887</v>
      </c>
      <c r="H56" s="33" t="s">
        <v>57</v>
      </c>
      <c r="I56" s="228">
        <v>25</v>
      </c>
      <c r="J56" s="31">
        <v>2000</v>
      </c>
      <c r="K56" s="12">
        <f t="shared" si="1"/>
        <v>80</v>
      </c>
      <c r="L56" s="228">
        <v>25</v>
      </c>
      <c r="M56" s="13">
        <f t="shared" ref="M56" si="36">F56/V56*60</f>
        <v>1927.9999999999991</v>
      </c>
      <c r="N56" s="13">
        <f t="shared" si="3"/>
        <v>77.119999999999962</v>
      </c>
      <c r="O56" s="14">
        <f t="shared" si="4"/>
        <v>0</v>
      </c>
      <c r="P56" s="15">
        <f t="shared" si="5"/>
        <v>-2.8800000000000381</v>
      </c>
      <c r="Q56" s="225">
        <f t="shared" si="6"/>
        <v>0.96399999999999952</v>
      </c>
      <c r="R56" s="615">
        <f>Q66</f>
        <v>0.95762817174328085</v>
      </c>
      <c r="S56" s="34">
        <v>0.16666666666666666</v>
      </c>
      <c r="T56" s="34">
        <v>0.1875</v>
      </c>
      <c r="U56" s="21"/>
      <c r="V56" s="229">
        <f t="shared" ref="V56:V65" si="37">(T56-S56)*24*60</f>
        <v>30.000000000000014</v>
      </c>
      <c r="W56" s="16"/>
      <c r="X56" s="16"/>
      <c r="Y56" s="21"/>
      <c r="Z56" s="21"/>
      <c r="AA56" s="617"/>
      <c r="AB56" s="617"/>
      <c r="AC56" s="35">
        <v>10</v>
      </c>
      <c r="AD56" s="18"/>
      <c r="AE56" s="14">
        <f t="shared" si="8"/>
        <v>-72.000000000000909</v>
      </c>
      <c r="AF56" s="225">
        <f t="shared" si="9"/>
        <v>0.96399999999999952</v>
      </c>
      <c r="AG56" s="615">
        <f>AF66</f>
        <v>0.95762817174328085</v>
      </c>
    </row>
    <row r="57" spans="1:33" ht="15.75" customHeight="1">
      <c r="A57" s="630" t="s">
        <v>944</v>
      </c>
      <c r="B57" s="29" t="s">
        <v>15</v>
      </c>
      <c r="C57" s="616" t="s">
        <v>46</v>
      </c>
      <c r="D57" s="616"/>
      <c r="E57" s="29">
        <v>56.43</v>
      </c>
      <c r="F57" s="32">
        <v>1792</v>
      </c>
      <c r="G57" s="226">
        <f t="shared" si="35"/>
        <v>101122.56</v>
      </c>
      <c r="H57" s="33" t="s">
        <v>57</v>
      </c>
      <c r="I57" s="228">
        <v>22</v>
      </c>
      <c r="J57" s="31">
        <v>2000</v>
      </c>
      <c r="K57" s="12">
        <f t="shared" si="1"/>
        <v>90.909090909090907</v>
      </c>
      <c r="L57" s="228">
        <v>22</v>
      </c>
      <c r="M57" s="13">
        <f>F57/V57*60</f>
        <v>1920</v>
      </c>
      <c r="N57" s="13">
        <f t="shared" si="3"/>
        <v>87.272727272727266</v>
      </c>
      <c r="O57" s="14">
        <f t="shared" si="4"/>
        <v>0</v>
      </c>
      <c r="P57" s="15">
        <f t="shared" si="5"/>
        <v>-3.6363636363636402</v>
      </c>
      <c r="Q57" s="225">
        <f t="shared" si="6"/>
        <v>0.96</v>
      </c>
      <c r="R57" s="615"/>
      <c r="S57" s="34">
        <v>0.19166666666666668</v>
      </c>
      <c r="T57" s="34">
        <v>0.23055555555555557</v>
      </c>
      <c r="U57" s="226">
        <f t="shared" ref="U57:U65" si="38">IF(S57=TIME(17,0,0),"",(S57-T56)*24*60)</f>
        <v>6.0000000000000187</v>
      </c>
      <c r="V57" s="229">
        <f t="shared" si="37"/>
        <v>56</v>
      </c>
      <c r="W57" s="16">
        <f>T57</f>
        <v>0.23055555555555557</v>
      </c>
      <c r="X57" s="16">
        <f>S58</f>
        <v>0.25069444444444444</v>
      </c>
      <c r="Y57" s="16"/>
      <c r="Z57" s="16"/>
      <c r="AA57" s="617"/>
      <c r="AB57" s="617"/>
      <c r="AC57" s="35"/>
      <c r="AD57" s="18"/>
      <c r="AE57" s="14">
        <f t="shared" si="8"/>
        <v>-80</v>
      </c>
      <c r="AF57" s="225">
        <f t="shared" si="9"/>
        <v>0.96</v>
      </c>
      <c r="AG57" s="615"/>
    </row>
    <row r="58" spans="1:33" ht="15.75" customHeight="1">
      <c r="A58" s="630" t="s">
        <v>944</v>
      </c>
      <c r="B58" s="29" t="s">
        <v>19</v>
      </c>
      <c r="C58" s="622" t="s">
        <v>81</v>
      </c>
      <c r="D58" s="623"/>
      <c r="E58" s="29">
        <v>46</v>
      </c>
      <c r="F58" s="32">
        <v>3490</v>
      </c>
      <c r="G58" s="226">
        <f t="shared" si="35"/>
        <v>160540</v>
      </c>
      <c r="H58" s="33" t="s">
        <v>57</v>
      </c>
      <c r="I58" s="228">
        <v>16</v>
      </c>
      <c r="J58" s="31">
        <v>2000</v>
      </c>
      <c r="K58" s="12">
        <f t="shared" si="1"/>
        <v>125</v>
      </c>
      <c r="L58" s="228">
        <v>16</v>
      </c>
      <c r="M58" s="13">
        <f t="shared" ref="M58:M65" si="39">F58/V58*60</f>
        <v>1921.1009174311923</v>
      </c>
      <c r="N58" s="13">
        <f t="shared" si="3"/>
        <v>120.06880733944952</v>
      </c>
      <c r="O58" s="14">
        <f t="shared" si="4"/>
        <v>0</v>
      </c>
      <c r="P58" s="15">
        <f t="shared" si="5"/>
        <v>-4.9311926605504794</v>
      </c>
      <c r="Q58" s="225">
        <f t="shared" si="6"/>
        <v>0.96055045871559619</v>
      </c>
      <c r="R58" s="615"/>
      <c r="S58" s="34">
        <v>0.25069444444444444</v>
      </c>
      <c r="T58" s="34">
        <v>0.3263888888888889</v>
      </c>
      <c r="U58" s="226">
        <f t="shared" si="38"/>
        <v>28.999999999999979</v>
      </c>
      <c r="V58" s="229">
        <f t="shared" si="37"/>
        <v>109.00000000000001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-78.899082568807671</v>
      </c>
      <c r="AF58" s="225">
        <f t="shared" si="9"/>
        <v>0.96055045871559619</v>
      </c>
      <c r="AG58" s="615"/>
    </row>
    <row r="59" spans="1:33" ht="15.75" customHeight="1">
      <c r="A59" s="630" t="s">
        <v>364</v>
      </c>
      <c r="B59" s="29" t="s">
        <v>19</v>
      </c>
      <c r="C59" s="219" t="s">
        <v>945</v>
      </c>
      <c r="D59" s="220"/>
      <c r="E59" s="29">
        <v>46</v>
      </c>
      <c r="F59" s="32">
        <v>5300</v>
      </c>
      <c r="G59" s="226">
        <f t="shared" si="35"/>
        <v>243800</v>
      </c>
      <c r="H59" s="33">
        <v>2</v>
      </c>
      <c r="I59" s="228">
        <v>17</v>
      </c>
      <c r="J59" s="31">
        <v>2000</v>
      </c>
      <c r="K59" s="12">
        <f t="shared" si="1"/>
        <v>117.64705882352941</v>
      </c>
      <c r="L59" s="228">
        <v>17</v>
      </c>
      <c r="M59" s="13">
        <f t="shared" si="39"/>
        <v>1904.1916167664674</v>
      </c>
      <c r="N59" s="13">
        <f t="shared" si="3"/>
        <v>112.01127157449808</v>
      </c>
      <c r="O59" s="14">
        <f t="shared" si="4"/>
        <v>0</v>
      </c>
      <c r="P59" s="15">
        <f t="shared" si="5"/>
        <v>-5.6357872490313241</v>
      </c>
      <c r="Q59" s="225">
        <f t="shared" si="6"/>
        <v>0.95209580838323371</v>
      </c>
      <c r="R59" s="615"/>
      <c r="S59" s="34">
        <v>0.33194444444444443</v>
      </c>
      <c r="T59" s="34">
        <v>0.44791666666666663</v>
      </c>
      <c r="U59" s="226">
        <f t="shared" si="38"/>
        <v>7.9999999999999716</v>
      </c>
      <c r="V59" s="229">
        <f t="shared" si="37"/>
        <v>166.99999999999997</v>
      </c>
      <c r="W59" s="16"/>
      <c r="X59" s="16"/>
      <c r="Y59" s="19"/>
      <c r="Z59" s="19"/>
      <c r="AA59" s="617"/>
      <c r="AB59" s="617"/>
      <c r="AC59" s="35"/>
      <c r="AD59" s="18"/>
      <c r="AE59" s="14">
        <f t="shared" si="8"/>
        <v>-95.808383233532595</v>
      </c>
      <c r="AF59" s="225">
        <f t="shared" si="9"/>
        <v>0.95209580838323371</v>
      </c>
      <c r="AG59" s="615"/>
    </row>
    <row r="60" spans="1:33" ht="15.75" customHeight="1">
      <c r="A60" s="630" t="s">
        <v>944</v>
      </c>
      <c r="B60" s="29" t="s">
        <v>15</v>
      </c>
      <c r="C60" s="219" t="s">
        <v>27</v>
      </c>
      <c r="D60" s="220"/>
      <c r="E60" s="29">
        <v>59.04</v>
      </c>
      <c r="F60" s="32">
        <v>2000</v>
      </c>
      <c r="G60" s="226">
        <f t="shared" si="35"/>
        <v>118080</v>
      </c>
      <c r="H60" s="33">
        <v>2</v>
      </c>
      <c r="I60" s="228">
        <v>19</v>
      </c>
      <c r="J60" s="31">
        <v>2000</v>
      </c>
      <c r="K60" s="12">
        <f t="shared" si="1"/>
        <v>105.26315789473684</v>
      </c>
      <c r="L60" s="228">
        <v>19</v>
      </c>
      <c r="M60" s="13">
        <f t="shared" si="39"/>
        <v>1904.7619047619044</v>
      </c>
      <c r="N60" s="13">
        <f t="shared" si="3"/>
        <v>100.25062656641602</v>
      </c>
      <c r="O60" s="14">
        <f t="shared" si="4"/>
        <v>0</v>
      </c>
      <c r="P60" s="15">
        <f t="shared" si="5"/>
        <v>-5.0125313283208186</v>
      </c>
      <c r="Q60" s="225">
        <f t="shared" si="6"/>
        <v>0.95238095238095222</v>
      </c>
      <c r="R60" s="615"/>
      <c r="S60" s="34">
        <v>0.45138888888888884</v>
      </c>
      <c r="T60" s="34">
        <v>0.49513888888888885</v>
      </c>
      <c r="U60" s="226">
        <f t="shared" si="38"/>
        <v>4.9999999999999822</v>
      </c>
      <c r="V60" s="229">
        <f t="shared" si="37"/>
        <v>63.000000000000014</v>
      </c>
      <c r="W60" s="16">
        <f>T60</f>
        <v>0.49513888888888885</v>
      </c>
      <c r="X60" s="16">
        <f>S61</f>
        <v>0.53402777777777777</v>
      </c>
      <c r="Y60" s="19"/>
      <c r="Z60" s="19"/>
      <c r="AA60" s="617"/>
      <c r="AB60" s="617"/>
      <c r="AC60" s="35"/>
      <c r="AD60" s="18"/>
      <c r="AE60" s="14">
        <f t="shared" si="8"/>
        <v>-95.238095238095639</v>
      </c>
      <c r="AF60" s="225">
        <f t="shared" si="9"/>
        <v>0.95238095238095222</v>
      </c>
      <c r="AG60" s="615"/>
    </row>
    <row r="61" spans="1:33" ht="15.75" customHeight="1">
      <c r="A61" s="630" t="s">
        <v>364</v>
      </c>
      <c r="B61" s="29" t="s">
        <v>19</v>
      </c>
      <c r="C61" s="622" t="s">
        <v>945</v>
      </c>
      <c r="D61" s="623"/>
      <c r="E61" s="29">
        <v>46</v>
      </c>
      <c r="F61" s="32">
        <v>3772</v>
      </c>
      <c r="G61" s="226">
        <f t="shared" si="35"/>
        <v>173512</v>
      </c>
      <c r="H61" s="33" t="s">
        <v>57</v>
      </c>
      <c r="I61" s="228">
        <v>17</v>
      </c>
      <c r="J61" s="31">
        <v>2000</v>
      </c>
      <c r="K61" s="12">
        <f t="shared" si="1"/>
        <v>117.64705882352941</v>
      </c>
      <c r="L61" s="228">
        <v>17</v>
      </c>
      <c r="M61" s="13">
        <f t="shared" si="39"/>
        <v>1901.8487394957974</v>
      </c>
      <c r="N61" s="13">
        <f t="shared" si="3"/>
        <v>111.87345526445867</v>
      </c>
      <c r="O61" s="14">
        <f t="shared" si="4"/>
        <v>0</v>
      </c>
      <c r="P61" s="15">
        <f t="shared" si="5"/>
        <v>-5.773603559070736</v>
      </c>
      <c r="Q61" s="225">
        <f t="shared" si="6"/>
        <v>0.95092436974789873</v>
      </c>
      <c r="R61" s="615"/>
      <c r="S61" s="34">
        <v>0.53402777777777777</v>
      </c>
      <c r="T61" s="34">
        <v>0.6166666666666667</v>
      </c>
      <c r="U61" s="226">
        <f t="shared" si="38"/>
        <v>56.000000000000043</v>
      </c>
      <c r="V61" s="229">
        <f t="shared" si="37"/>
        <v>119.00000000000006</v>
      </c>
      <c r="W61" s="16"/>
      <c r="X61" s="16"/>
      <c r="Y61" s="19"/>
      <c r="Z61" s="19"/>
      <c r="AA61" s="624"/>
      <c r="AB61" s="625"/>
      <c r="AC61" s="35"/>
      <c r="AD61" s="18"/>
      <c r="AE61" s="14">
        <f t="shared" si="8"/>
        <v>-98.151260504202583</v>
      </c>
      <c r="AF61" s="225">
        <f t="shared" si="9"/>
        <v>0.95092436974789873</v>
      </c>
      <c r="AG61" s="615"/>
    </row>
    <row r="62" spans="1:33" ht="15.75" customHeight="1">
      <c r="A62" s="630" t="s">
        <v>946</v>
      </c>
      <c r="B62" s="29" t="s">
        <v>15</v>
      </c>
      <c r="C62" s="622" t="s">
        <v>27</v>
      </c>
      <c r="D62" s="623"/>
      <c r="E62" s="29">
        <v>59.04</v>
      </c>
      <c r="F62" s="32">
        <v>1538</v>
      </c>
      <c r="G62" s="226">
        <f t="shared" si="35"/>
        <v>90803.520000000004</v>
      </c>
      <c r="H62" s="33" t="s">
        <v>57</v>
      </c>
      <c r="I62" s="228">
        <v>19</v>
      </c>
      <c r="J62" s="31">
        <v>2000</v>
      </c>
      <c r="K62" s="12">
        <f t="shared" si="1"/>
        <v>105.26315789473684</v>
      </c>
      <c r="L62" s="228">
        <v>19</v>
      </c>
      <c r="M62" s="13">
        <f t="shared" si="39"/>
        <v>1922.5000000000007</v>
      </c>
      <c r="N62" s="13">
        <f t="shared" si="3"/>
        <v>101.18421052631582</v>
      </c>
      <c r="O62" s="14">
        <f t="shared" si="4"/>
        <v>0</v>
      </c>
      <c r="P62" s="15">
        <f t="shared" si="5"/>
        <v>-4.0789473684210122</v>
      </c>
      <c r="Q62" s="225">
        <f t="shared" si="6"/>
        <v>0.96125000000000038</v>
      </c>
      <c r="R62" s="615"/>
      <c r="S62" s="34">
        <v>0.62222222222222223</v>
      </c>
      <c r="T62" s="34">
        <v>0.65555555555555556</v>
      </c>
      <c r="U62" s="226">
        <f t="shared" si="38"/>
        <v>7.9999999999999716</v>
      </c>
      <c r="V62" s="229">
        <f t="shared" si="37"/>
        <v>47.999999999999986</v>
      </c>
      <c r="W62" s="16"/>
      <c r="X62" s="16"/>
      <c r="Y62" s="19"/>
      <c r="Z62" s="19"/>
      <c r="AA62" s="624"/>
      <c r="AB62" s="625"/>
      <c r="AC62" s="35"/>
      <c r="AD62" s="18"/>
      <c r="AE62" s="14">
        <f t="shared" si="8"/>
        <v>-77.499999999999318</v>
      </c>
      <c r="AF62" s="225">
        <f t="shared" si="9"/>
        <v>0.96125000000000038</v>
      </c>
      <c r="AG62" s="615"/>
    </row>
    <row r="63" spans="1:33" ht="15.75" customHeight="1">
      <c r="A63" s="630" t="s">
        <v>944</v>
      </c>
      <c r="B63" s="29" t="s">
        <v>15</v>
      </c>
      <c r="C63" s="622" t="s">
        <v>48</v>
      </c>
      <c r="D63" s="623"/>
      <c r="E63" s="29">
        <v>55.56</v>
      </c>
      <c r="F63" s="32">
        <v>2882</v>
      </c>
      <c r="G63" s="226">
        <f t="shared" si="35"/>
        <v>160123.92000000001</v>
      </c>
      <c r="H63" s="33" t="s">
        <v>57</v>
      </c>
      <c r="I63" s="228">
        <v>17</v>
      </c>
      <c r="J63" s="31">
        <v>2000</v>
      </c>
      <c r="K63" s="12">
        <f t="shared" si="1"/>
        <v>117.64705882352941</v>
      </c>
      <c r="L63" s="228">
        <v>17</v>
      </c>
      <c r="M63" s="13">
        <f t="shared" si="39"/>
        <v>1921.3333333333335</v>
      </c>
      <c r="N63" s="13">
        <f t="shared" si="3"/>
        <v>113.01960784313727</v>
      </c>
      <c r="O63" s="14">
        <f t="shared" si="4"/>
        <v>0</v>
      </c>
      <c r="P63" s="15">
        <f t="shared" si="5"/>
        <v>-4.6274509803921404</v>
      </c>
      <c r="Q63" s="225">
        <f t="shared" si="6"/>
        <v>0.96066666666666678</v>
      </c>
      <c r="R63" s="615"/>
      <c r="S63" s="34">
        <v>0.70833333333333337</v>
      </c>
      <c r="T63" s="34">
        <v>0.77083333333333337</v>
      </c>
      <c r="U63" s="226" t="str">
        <f t="shared" si="38"/>
        <v/>
      </c>
      <c r="V63" s="229">
        <f t="shared" si="37"/>
        <v>90</v>
      </c>
      <c r="W63" s="16"/>
      <c r="X63" s="16"/>
      <c r="Y63" s="19"/>
      <c r="Z63" s="19"/>
      <c r="AA63" s="624"/>
      <c r="AB63" s="625"/>
      <c r="AC63" s="35"/>
      <c r="AD63" s="18"/>
      <c r="AE63" s="14">
        <f t="shared" si="8"/>
        <v>-78.666666666666515</v>
      </c>
      <c r="AF63" s="225">
        <f t="shared" si="9"/>
        <v>0.96066666666666678</v>
      </c>
      <c r="AG63" s="615"/>
    </row>
    <row r="64" spans="1:33">
      <c r="A64" s="630" t="s">
        <v>944</v>
      </c>
      <c r="B64" s="29" t="s">
        <v>15</v>
      </c>
      <c r="C64" s="219" t="s">
        <v>841</v>
      </c>
      <c r="D64" s="220"/>
      <c r="E64" s="29">
        <v>54.09</v>
      </c>
      <c r="F64" s="32">
        <v>2500</v>
      </c>
      <c r="G64" s="226">
        <f t="shared" si="35"/>
        <v>135225</v>
      </c>
      <c r="H64" s="33">
        <v>2</v>
      </c>
      <c r="I64" s="228">
        <v>13</v>
      </c>
      <c r="J64" s="31">
        <v>2000</v>
      </c>
      <c r="K64" s="12">
        <f t="shared" si="1"/>
        <v>153.84615384615384</v>
      </c>
      <c r="L64" s="228">
        <v>13</v>
      </c>
      <c r="M64" s="13">
        <f t="shared" si="39"/>
        <v>1923.0769230769222</v>
      </c>
      <c r="N64" s="13">
        <f t="shared" si="3"/>
        <v>147.92899408284018</v>
      </c>
      <c r="O64" s="14">
        <f t="shared" si="4"/>
        <v>0</v>
      </c>
      <c r="P64" s="15">
        <f t="shared" si="5"/>
        <v>-5.9171597633136628</v>
      </c>
      <c r="Q64" s="225">
        <f t="shared" si="6"/>
        <v>0.96153846153846123</v>
      </c>
      <c r="R64" s="615"/>
      <c r="S64" s="34">
        <v>0.77638888888888891</v>
      </c>
      <c r="T64" s="34">
        <v>0.8305555555555556</v>
      </c>
      <c r="U64" s="226">
        <f t="shared" si="38"/>
        <v>7.9999999999999716</v>
      </c>
      <c r="V64" s="229">
        <f t="shared" si="37"/>
        <v>78.000000000000043</v>
      </c>
      <c r="W64" s="16">
        <f>T64</f>
        <v>0.8305555555555556</v>
      </c>
      <c r="X64" s="16">
        <f>S65</f>
        <v>0.87013888888888891</v>
      </c>
      <c r="Y64" s="19"/>
      <c r="Z64" s="19"/>
      <c r="AA64" s="221"/>
      <c r="AB64" s="222"/>
      <c r="AC64" s="35"/>
      <c r="AD64" s="18"/>
      <c r="AE64" s="14">
        <f t="shared" si="8"/>
        <v>-76.923076923077815</v>
      </c>
      <c r="AF64" s="225">
        <f t="shared" si="9"/>
        <v>0.96153846153846112</v>
      </c>
      <c r="AG64" s="615"/>
    </row>
    <row r="65" spans="1:33">
      <c r="A65" s="630" t="s">
        <v>944</v>
      </c>
      <c r="B65" s="29" t="s">
        <v>15</v>
      </c>
      <c r="C65" s="622" t="s">
        <v>841</v>
      </c>
      <c r="D65" s="623"/>
      <c r="E65" s="29">
        <v>54.09</v>
      </c>
      <c r="F65" s="32">
        <v>2541</v>
      </c>
      <c r="G65" s="226">
        <f t="shared" si="35"/>
        <v>137442.69</v>
      </c>
      <c r="H65" s="33" t="s">
        <v>57</v>
      </c>
      <c r="I65" s="228">
        <v>13</v>
      </c>
      <c r="J65" s="31">
        <v>2000</v>
      </c>
      <c r="K65" s="12">
        <f t="shared" si="1"/>
        <v>153.84615384615384</v>
      </c>
      <c r="L65" s="228">
        <v>13</v>
      </c>
      <c r="M65" s="13">
        <f t="shared" si="39"/>
        <v>1905.7499999999993</v>
      </c>
      <c r="N65" s="13">
        <f t="shared" si="3"/>
        <v>146.59615384615378</v>
      </c>
      <c r="O65" s="14">
        <f t="shared" si="4"/>
        <v>0</v>
      </c>
      <c r="P65" s="15">
        <f t="shared" si="5"/>
        <v>-7.2500000000000568</v>
      </c>
      <c r="Q65" s="225">
        <f t="shared" si="6"/>
        <v>0.95287499999999958</v>
      </c>
      <c r="R65" s="615"/>
      <c r="S65" s="34">
        <v>0.87013888888888891</v>
      </c>
      <c r="T65" s="34">
        <v>0.92569444444444449</v>
      </c>
      <c r="U65" s="226">
        <f t="shared" si="38"/>
        <v>56.999999999999957</v>
      </c>
      <c r="V65" s="229">
        <f t="shared" si="37"/>
        <v>80.000000000000028</v>
      </c>
      <c r="W65" s="16"/>
      <c r="X65" s="16"/>
      <c r="Y65" s="19"/>
      <c r="Z65" s="19"/>
      <c r="AA65" s="624"/>
      <c r="AB65" s="625"/>
      <c r="AC65" s="35"/>
      <c r="AD65" s="18"/>
      <c r="AE65" s="14">
        <f t="shared" si="8"/>
        <v>-94.250000000000682</v>
      </c>
      <c r="AF65" s="225">
        <f t="shared" si="9"/>
        <v>0.95287499999999969</v>
      </c>
      <c r="AG65" s="615"/>
    </row>
    <row r="66" spans="1:33">
      <c r="A66" s="631" t="s">
        <v>944</v>
      </c>
      <c r="B66" s="29" t="s">
        <v>357</v>
      </c>
      <c r="C66" s="618"/>
      <c r="D66" s="618"/>
      <c r="E66" s="227"/>
      <c r="F66" s="30"/>
      <c r="G66" s="12"/>
      <c r="H66" s="230"/>
      <c r="I66" s="23">
        <v>17.8</v>
      </c>
      <c r="J66" s="31">
        <v>2000</v>
      </c>
      <c r="K66" s="12">
        <f t="shared" si="1"/>
        <v>112.35955056179775</v>
      </c>
      <c r="L66" s="23">
        <v>17.8</v>
      </c>
      <c r="M66" s="13">
        <f>AVERAGE(M56:M65)</f>
        <v>1915.2563434865617</v>
      </c>
      <c r="N66" s="12">
        <f t="shared" si="3"/>
        <v>107.5986709823911</v>
      </c>
      <c r="O66" s="14">
        <f t="shared" si="4"/>
        <v>0</v>
      </c>
      <c r="P66" s="15">
        <f t="shared" si="5"/>
        <v>-4.7608795794066481</v>
      </c>
      <c r="Q66" s="225">
        <f t="shared" si="6"/>
        <v>0.95762817174328085</v>
      </c>
      <c r="R66" s="615"/>
      <c r="S66" s="34"/>
      <c r="T66" s="34"/>
      <c r="U66" s="226"/>
      <c r="V66" s="229"/>
      <c r="W66" s="12"/>
      <c r="X66" s="12"/>
      <c r="Y66" s="24">
        <f>SUM(Y56:Y65)</f>
        <v>0</v>
      </c>
      <c r="Z66" s="24">
        <f>SUM(Z56:Z65)</f>
        <v>0</v>
      </c>
      <c r="AA66" s="614"/>
      <c r="AB66" s="614"/>
      <c r="AC66" s="24">
        <v>10</v>
      </c>
      <c r="AD66" s="24">
        <f>SUM(AD56:AD65)</f>
        <v>0</v>
      </c>
      <c r="AE66" s="14">
        <f>M66-J66</f>
        <v>-84.743656513438282</v>
      </c>
      <c r="AF66" s="225">
        <f t="shared" si="9"/>
        <v>0.95762817174328085</v>
      </c>
      <c r="AG66" s="615"/>
    </row>
    <row r="67" spans="1:33" ht="15.75" customHeight="1">
      <c r="A67" s="626" t="s">
        <v>365</v>
      </c>
      <c r="B67" s="230" t="s">
        <v>40</v>
      </c>
      <c r="C67" s="616" t="s">
        <v>49</v>
      </c>
      <c r="D67" s="616"/>
      <c r="E67" s="29">
        <v>34.36</v>
      </c>
      <c r="F67" s="32">
        <v>2562</v>
      </c>
      <c r="G67" s="226">
        <f t="shared" ref="G67:G71" si="40">E67*F67</f>
        <v>88030.319999999992</v>
      </c>
      <c r="H67" s="33" t="s">
        <v>57</v>
      </c>
      <c r="I67" s="228">
        <v>10</v>
      </c>
      <c r="J67" s="31">
        <v>3000</v>
      </c>
      <c r="K67" s="12">
        <f t="shared" si="1"/>
        <v>300</v>
      </c>
      <c r="L67" s="228">
        <v>10</v>
      </c>
      <c r="M67" s="13">
        <f t="shared" ref="M67:M71" si="41">F67/V67*60</f>
        <v>2900.3773584905653</v>
      </c>
      <c r="N67" s="12">
        <f t="shared" si="3"/>
        <v>290.0377358490565</v>
      </c>
      <c r="O67" s="14">
        <f t="shared" si="4"/>
        <v>0</v>
      </c>
      <c r="P67" s="15">
        <f t="shared" si="5"/>
        <v>-9.962264150943497</v>
      </c>
      <c r="Q67" s="225">
        <f t="shared" si="6"/>
        <v>0.96679245283018833</v>
      </c>
      <c r="R67" s="615">
        <f>Q72</f>
        <v>0.96566937327754021</v>
      </c>
      <c r="S67" s="34">
        <v>0.20833333333333334</v>
      </c>
      <c r="T67" s="34">
        <v>0.24513888888888891</v>
      </c>
      <c r="U67" s="226"/>
      <c r="V67" s="229">
        <f t="shared" ref="V67:V71" si="42">(T67-S67)*24*60</f>
        <v>53.000000000000014</v>
      </c>
      <c r="W67" s="16"/>
      <c r="X67" s="16"/>
      <c r="Y67" s="21"/>
      <c r="Z67" s="21"/>
      <c r="AA67" s="617"/>
      <c r="AB67" s="617"/>
      <c r="AC67" s="35">
        <v>5</v>
      </c>
      <c r="AD67" s="18"/>
      <c r="AE67" s="14">
        <f t="shared" ref="AE67:AE81" si="43">M67-J67</f>
        <v>-99.622641509434743</v>
      </c>
      <c r="AF67" s="225">
        <f t="shared" si="9"/>
        <v>0.96679245283018844</v>
      </c>
      <c r="AG67" s="615">
        <f>AF72</f>
        <v>0.96566937327754021</v>
      </c>
    </row>
    <row r="68" spans="1:33" ht="15.75" customHeight="1">
      <c r="A68" s="626" t="s">
        <v>947</v>
      </c>
      <c r="B68" s="230" t="s">
        <v>40</v>
      </c>
      <c r="C68" s="616" t="s">
        <v>50</v>
      </c>
      <c r="D68" s="616"/>
      <c r="E68" s="29">
        <v>34.36</v>
      </c>
      <c r="F68" s="32">
        <v>1258</v>
      </c>
      <c r="G68" s="226">
        <f t="shared" si="40"/>
        <v>43224.88</v>
      </c>
      <c r="H68" s="33" t="s">
        <v>57</v>
      </c>
      <c r="I68" s="228">
        <v>10</v>
      </c>
      <c r="J68" s="31">
        <v>3000</v>
      </c>
      <c r="K68" s="12">
        <f t="shared" si="1"/>
        <v>300</v>
      </c>
      <c r="L68" s="228">
        <v>10</v>
      </c>
      <c r="M68" s="13">
        <f t="shared" si="41"/>
        <v>2903.0769230769247</v>
      </c>
      <c r="N68" s="12">
        <f t="shared" si="3"/>
        <v>290.30769230769249</v>
      </c>
      <c r="O68" s="14">
        <f t="shared" si="4"/>
        <v>0</v>
      </c>
      <c r="P68" s="15">
        <f t="shared" si="5"/>
        <v>-9.6923076923075087</v>
      </c>
      <c r="Q68" s="225">
        <f t="shared" si="6"/>
        <v>0.9676923076923083</v>
      </c>
      <c r="R68" s="615"/>
      <c r="S68" s="34">
        <v>0.25069444444444444</v>
      </c>
      <c r="T68" s="34">
        <v>0.26874999999999999</v>
      </c>
      <c r="U68" s="226">
        <f t="shared" ref="U68:U71" si="44">(S68-T67)*24*60</f>
        <v>7.9999999999999716</v>
      </c>
      <c r="V68" s="229">
        <f t="shared" si="42"/>
        <v>25.999999999999986</v>
      </c>
      <c r="W68" s="226"/>
      <c r="X68" s="226"/>
      <c r="Y68" s="226"/>
      <c r="Z68" s="226"/>
      <c r="AA68" s="617"/>
      <c r="AB68" s="617"/>
      <c r="AC68" s="35"/>
      <c r="AD68" s="18"/>
      <c r="AE68" s="14">
        <f t="shared" si="43"/>
        <v>-96.923076923075314</v>
      </c>
      <c r="AF68" s="225">
        <f t="shared" si="9"/>
        <v>0.96769230769230818</v>
      </c>
      <c r="AG68" s="615"/>
    </row>
    <row r="69" spans="1:33" ht="15.75" customHeight="1">
      <c r="A69" s="626" t="s">
        <v>947</v>
      </c>
      <c r="B69" s="230" t="s">
        <v>40</v>
      </c>
      <c r="C69" s="616" t="s">
        <v>51</v>
      </c>
      <c r="D69" s="616"/>
      <c r="E69" s="29">
        <v>26.78</v>
      </c>
      <c r="F69" s="32">
        <v>2797</v>
      </c>
      <c r="G69" s="226">
        <f t="shared" si="40"/>
        <v>74903.66</v>
      </c>
      <c r="H69" s="33" t="s">
        <v>57</v>
      </c>
      <c r="I69" s="228">
        <v>10</v>
      </c>
      <c r="J69" s="31">
        <v>3000</v>
      </c>
      <c r="K69" s="12">
        <f t="shared" ref="K69:K81" si="45">J69/I69</f>
        <v>300</v>
      </c>
      <c r="L69" s="228">
        <v>10</v>
      </c>
      <c r="M69" s="13">
        <f t="shared" si="41"/>
        <v>2893.4482758620675</v>
      </c>
      <c r="N69" s="12">
        <f t="shared" ref="N69:N81" si="46">M69/L69</f>
        <v>289.34482758620675</v>
      </c>
      <c r="O69" s="14">
        <f t="shared" ref="O69:O81" si="47">L69-I69</f>
        <v>0</v>
      </c>
      <c r="P69" s="15">
        <f t="shared" ref="P69:P81" si="48">N69-K69</f>
        <v>-10.655172413793252</v>
      </c>
      <c r="Q69" s="225">
        <f t="shared" ref="Q69:Q81" si="49">N69/K69</f>
        <v>0.96448275862068911</v>
      </c>
      <c r="R69" s="615"/>
      <c r="S69" s="34">
        <v>0.27361111111111108</v>
      </c>
      <c r="T69" s="34">
        <v>0.31388888888888888</v>
      </c>
      <c r="U69" s="226">
        <f t="shared" si="44"/>
        <v>6.9999999999999751</v>
      </c>
      <c r="V69" s="229">
        <f t="shared" si="42"/>
        <v>58.000000000000036</v>
      </c>
      <c r="W69" s="226"/>
      <c r="X69" s="226"/>
      <c r="Y69" s="226"/>
      <c r="Z69" s="226"/>
      <c r="AA69" s="617"/>
      <c r="AB69" s="617"/>
      <c r="AC69" s="35"/>
      <c r="AD69" s="18"/>
      <c r="AE69" s="14">
        <f t="shared" si="43"/>
        <v>-106.55172413793252</v>
      </c>
      <c r="AF69" s="225">
        <f t="shared" ref="AF69:AF81" si="50">M69/J69</f>
        <v>0.96448275862068911</v>
      </c>
      <c r="AG69" s="615"/>
    </row>
    <row r="70" spans="1:33" ht="15.75" customHeight="1">
      <c r="A70" s="626" t="s">
        <v>947</v>
      </c>
      <c r="B70" s="230" t="s">
        <v>40</v>
      </c>
      <c r="C70" s="616" t="s">
        <v>52</v>
      </c>
      <c r="D70" s="616"/>
      <c r="E70" s="29">
        <v>35.869999999999997</v>
      </c>
      <c r="F70" s="32">
        <v>4265</v>
      </c>
      <c r="G70" s="226">
        <f t="shared" si="40"/>
        <v>152985.54999999999</v>
      </c>
      <c r="H70" s="33" t="s">
        <v>57</v>
      </c>
      <c r="I70" s="228">
        <v>9</v>
      </c>
      <c r="J70" s="31">
        <v>3000</v>
      </c>
      <c r="K70" s="12">
        <f t="shared" si="45"/>
        <v>333.33333333333331</v>
      </c>
      <c r="L70" s="228">
        <v>9</v>
      </c>
      <c r="M70" s="13">
        <f t="shared" si="41"/>
        <v>2875.2808988764045</v>
      </c>
      <c r="N70" s="12">
        <f t="shared" si="46"/>
        <v>319.47565543071164</v>
      </c>
      <c r="O70" s="14">
        <f t="shared" si="47"/>
        <v>0</v>
      </c>
      <c r="P70" s="15">
        <f t="shared" si="48"/>
        <v>-13.857677902621674</v>
      </c>
      <c r="Q70" s="225">
        <f t="shared" si="49"/>
        <v>0.95842696629213497</v>
      </c>
      <c r="R70" s="615"/>
      <c r="S70" s="34">
        <v>0.31736111111111109</v>
      </c>
      <c r="T70" s="34">
        <v>0.37916666666666665</v>
      </c>
      <c r="U70" s="226">
        <f t="shared" si="44"/>
        <v>4.9999999999999822</v>
      </c>
      <c r="V70" s="229">
        <f t="shared" si="42"/>
        <v>89</v>
      </c>
      <c r="W70" s="226"/>
      <c r="X70" s="226"/>
      <c r="Y70" s="226"/>
      <c r="Z70" s="226"/>
      <c r="AA70" s="617"/>
      <c r="AB70" s="617"/>
      <c r="AC70" s="35"/>
      <c r="AD70" s="18"/>
      <c r="AE70" s="14">
        <f t="shared" si="43"/>
        <v>-124.71910112359546</v>
      </c>
      <c r="AF70" s="225">
        <f t="shared" si="50"/>
        <v>0.95842696629213486</v>
      </c>
      <c r="AG70" s="615"/>
    </row>
    <row r="71" spans="1:33">
      <c r="A71" s="627" t="s">
        <v>947</v>
      </c>
      <c r="B71" s="230" t="s">
        <v>40</v>
      </c>
      <c r="C71" s="616" t="s">
        <v>53</v>
      </c>
      <c r="D71" s="616"/>
      <c r="E71" s="29">
        <v>34.35</v>
      </c>
      <c r="F71" s="32">
        <v>2039</v>
      </c>
      <c r="G71" s="226">
        <f t="shared" si="40"/>
        <v>70039.650000000009</v>
      </c>
      <c r="H71" s="33" t="s">
        <v>57</v>
      </c>
      <c r="I71" s="228">
        <v>8</v>
      </c>
      <c r="J71" s="31">
        <v>3000</v>
      </c>
      <c r="K71" s="12">
        <f t="shared" si="45"/>
        <v>375</v>
      </c>
      <c r="L71" s="228">
        <v>8</v>
      </c>
      <c r="M71" s="13">
        <f t="shared" si="41"/>
        <v>2912.8571428571418</v>
      </c>
      <c r="N71" s="12">
        <f t="shared" si="46"/>
        <v>364.10714285714272</v>
      </c>
      <c r="O71" s="14">
        <f t="shared" si="47"/>
        <v>0</v>
      </c>
      <c r="P71" s="15">
        <f t="shared" si="48"/>
        <v>-10.892857142857281</v>
      </c>
      <c r="Q71" s="225">
        <f t="shared" si="49"/>
        <v>0.97095238095238057</v>
      </c>
      <c r="R71" s="615"/>
      <c r="S71" s="34">
        <v>0.3833333333333333</v>
      </c>
      <c r="T71" s="34">
        <v>0.41249999999999998</v>
      </c>
      <c r="U71" s="226">
        <f t="shared" si="44"/>
        <v>5.9999999999999787</v>
      </c>
      <c r="V71" s="229">
        <f t="shared" si="42"/>
        <v>42.000000000000014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-87.142857142858247</v>
      </c>
      <c r="AF71" s="225">
        <f t="shared" si="50"/>
        <v>0.97095238095238057</v>
      </c>
      <c r="AG71" s="615"/>
    </row>
    <row r="72" spans="1:33">
      <c r="A72" s="627" t="s">
        <v>947</v>
      </c>
      <c r="B72" s="29" t="s">
        <v>935</v>
      </c>
      <c r="C72" s="618"/>
      <c r="D72" s="618"/>
      <c r="E72" s="227"/>
      <c r="F72" s="30"/>
      <c r="G72" s="12"/>
      <c r="H72" s="230"/>
      <c r="I72" s="23">
        <v>9.4</v>
      </c>
      <c r="J72" s="31">
        <v>3000</v>
      </c>
      <c r="K72" s="12">
        <f t="shared" si="45"/>
        <v>319.14893617021278</v>
      </c>
      <c r="L72" s="23">
        <v>9.4</v>
      </c>
      <c r="M72" s="13">
        <f>AVERAGE(M67:M71)</f>
        <v>2897.0081198326207</v>
      </c>
      <c r="N72" s="12">
        <f t="shared" si="46"/>
        <v>308.19235317368305</v>
      </c>
      <c r="O72" s="14">
        <f t="shared" si="47"/>
        <v>0</v>
      </c>
      <c r="P72" s="15">
        <f t="shared" si="48"/>
        <v>-10.956582996529733</v>
      </c>
      <c r="Q72" s="225">
        <f t="shared" si="49"/>
        <v>0.96566937327754021</v>
      </c>
      <c r="R72" s="615"/>
      <c r="S72" s="34"/>
      <c r="T72" s="34"/>
      <c r="U72" s="12"/>
      <c r="V72" s="229"/>
      <c r="W72" s="12"/>
      <c r="X72" s="12"/>
      <c r="Y72" s="24">
        <f>SUM(Y67:Y71)</f>
        <v>0</v>
      </c>
      <c r="Z72" s="24">
        <f>SUM(Z67:Z71)</f>
        <v>0</v>
      </c>
      <c r="AA72" s="614"/>
      <c r="AB72" s="614"/>
      <c r="AC72" s="24">
        <v>5</v>
      </c>
      <c r="AD72" s="24">
        <f>SUM(AD67:AD71)</f>
        <v>0</v>
      </c>
      <c r="AE72" s="14">
        <f t="shared" si="43"/>
        <v>-102.99188016737935</v>
      </c>
      <c r="AF72" s="225">
        <f t="shared" si="50"/>
        <v>0.96566937327754021</v>
      </c>
      <c r="AG72" s="615"/>
    </row>
    <row r="73" spans="1:33" ht="15.75" customHeight="1">
      <c r="A73" s="619" t="s">
        <v>948</v>
      </c>
      <c r="B73" s="230" t="s">
        <v>32</v>
      </c>
      <c r="C73" s="616" t="s">
        <v>56</v>
      </c>
      <c r="D73" s="616"/>
      <c r="E73" s="29">
        <v>19.02</v>
      </c>
      <c r="F73" s="230">
        <v>5600</v>
      </c>
      <c r="G73" s="226">
        <f t="shared" ref="G73:G80" si="51">E73*F73</f>
        <v>106512</v>
      </c>
      <c r="H73" s="33">
        <v>2</v>
      </c>
      <c r="I73" s="228">
        <v>14</v>
      </c>
      <c r="J73" s="31">
        <v>2400</v>
      </c>
      <c r="K73" s="12">
        <f t="shared" si="45"/>
        <v>171.42857142857142</v>
      </c>
      <c r="L73" s="228">
        <v>14</v>
      </c>
      <c r="M73" s="13">
        <f t="shared" ref="M73:M80" si="52">F73/V73*60</f>
        <v>2285.7142857142858</v>
      </c>
      <c r="N73" s="12">
        <f t="shared" si="46"/>
        <v>163.26530612244898</v>
      </c>
      <c r="O73" s="14">
        <f t="shared" si="47"/>
        <v>0</v>
      </c>
      <c r="P73" s="15">
        <f t="shared" si="48"/>
        <v>-8.1632653061224403</v>
      </c>
      <c r="Q73" s="225">
        <f t="shared" si="49"/>
        <v>0.95238095238095244</v>
      </c>
      <c r="R73" s="615">
        <f>Q81</f>
        <v>0.95626605866107506</v>
      </c>
      <c r="S73" s="34">
        <v>8.3333333333333329E-2</v>
      </c>
      <c r="T73" s="34">
        <v>0.18541666666666667</v>
      </c>
      <c r="U73" s="21"/>
      <c r="V73" s="229">
        <f t="shared" ref="V73:V80" si="53">(T73-S73)*24*60</f>
        <v>147</v>
      </c>
      <c r="W73" s="16">
        <f>T73</f>
        <v>0.18541666666666667</v>
      </c>
      <c r="X73" s="16">
        <f>S74</f>
        <v>0.20277777777777775</v>
      </c>
      <c r="Y73" s="16"/>
      <c r="Z73" s="16"/>
      <c r="AA73" s="617"/>
      <c r="AB73" s="617"/>
      <c r="AC73" s="35">
        <v>8</v>
      </c>
      <c r="AD73" s="18"/>
      <c r="AE73" s="14">
        <f t="shared" si="43"/>
        <v>-114.28571428571422</v>
      </c>
      <c r="AF73" s="225">
        <f t="shared" si="50"/>
        <v>0.95238095238095244</v>
      </c>
      <c r="AG73" s="615">
        <f>AF81</f>
        <v>0.95626605866107506</v>
      </c>
    </row>
    <row r="74" spans="1:33" ht="15.75" customHeight="1">
      <c r="A74" s="620" t="s">
        <v>948</v>
      </c>
      <c r="B74" s="230" t="s">
        <v>32</v>
      </c>
      <c r="C74" s="616" t="s">
        <v>79</v>
      </c>
      <c r="D74" s="616"/>
      <c r="E74" s="29">
        <v>25.99</v>
      </c>
      <c r="F74" s="230">
        <v>2763</v>
      </c>
      <c r="G74" s="226">
        <f t="shared" si="51"/>
        <v>71810.37</v>
      </c>
      <c r="H74" s="33" t="s">
        <v>57</v>
      </c>
      <c r="I74" s="228">
        <v>18</v>
      </c>
      <c r="J74" s="31">
        <v>2400</v>
      </c>
      <c r="K74" s="12">
        <f t="shared" si="45"/>
        <v>133.33333333333334</v>
      </c>
      <c r="L74" s="228">
        <v>18</v>
      </c>
      <c r="M74" s="13">
        <f t="shared" si="52"/>
        <v>2302.4999999999991</v>
      </c>
      <c r="N74" s="12">
        <f t="shared" si="46"/>
        <v>127.91666666666661</v>
      </c>
      <c r="O74" s="14">
        <f t="shared" si="47"/>
        <v>0</v>
      </c>
      <c r="P74" s="15">
        <f t="shared" si="48"/>
        <v>-5.4166666666667282</v>
      </c>
      <c r="Q74" s="225">
        <f t="shared" si="49"/>
        <v>0.95937499999999953</v>
      </c>
      <c r="R74" s="615"/>
      <c r="S74" s="34">
        <v>0.20277777777777775</v>
      </c>
      <c r="T74" s="34">
        <v>0.25277777777777777</v>
      </c>
      <c r="U74" s="226">
        <f t="shared" ref="U74:U80" si="54">(S74-T73)*24*60</f>
        <v>24.99999999999995</v>
      </c>
      <c r="V74" s="229">
        <f t="shared" si="53"/>
        <v>72.000000000000028</v>
      </c>
      <c r="W74" s="16"/>
      <c r="X74" s="16"/>
      <c r="Y74" s="16"/>
      <c r="Z74" s="16"/>
      <c r="AA74" s="617"/>
      <c r="AB74" s="617"/>
      <c r="AC74" s="35"/>
      <c r="AD74" s="18"/>
      <c r="AE74" s="14">
        <f t="shared" si="43"/>
        <v>-97.500000000000909</v>
      </c>
      <c r="AF74" s="225">
        <f t="shared" si="50"/>
        <v>0.95937499999999964</v>
      </c>
      <c r="AG74" s="615"/>
    </row>
    <row r="75" spans="1:33" ht="15.75" customHeight="1">
      <c r="A75" s="620" t="s">
        <v>948</v>
      </c>
      <c r="B75" s="230" t="s">
        <v>32</v>
      </c>
      <c r="C75" s="616" t="s">
        <v>949</v>
      </c>
      <c r="D75" s="616"/>
      <c r="E75" s="29">
        <v>25.98</v>
      </c>
      <c r="F75" s="230">
        <v>6000</v>
      </c>
      <c r="G75" s="226">
        <f t="shared" si="51"/>
        <v>155880</v>
      </c>
      <c r="H75" s="33">
        <v>2</v>
      </c>
      <c r="I75" s="228">
        <v>17</v>
      </c>
      <c r="J75" s="31">
        <v>2400</v>
      </c>
      <c r="K75" s="12">
        <f t="shared" si="45"/>
        <v>141.1764705882353</v>
      </c>
      <c r="L75" s="228">
        <v>17</v>
      </c>
      <c r="M75" s="13">
        <f t="shared" si="52"/>
        <v>2292.9936305732485</v>
      </c>
      <c r="N75" s="12">
        <f t="shared" si="46"/>
        <v>134.88197826901461</v>
      </c>
      <c r="O75" s="14">
        <f t="shared" si="47"/>
        <v>0</v>
      </c>
      <c r="P75" s="15">
        <f t="shared" si="48"/>
        <v>-6.2944923192206943</v>
      </c>
      <c r="Q75" s="225">
        <f t="shared" si="49"/>
        <v>0.9554140127388534</v>
      </c>
      <c r="R75" s="615"/>
      <c r="S75" s="34">
        <v>0.25694444444444442</v>
      </c>
      <c r="T75" s="34">
        <v>0.3659722222222222</v>
      </c>
      <c r="U75" s="226">
        <f t="shared" si="54"/>
        <v>5.9999999999999787</v>
      </c>
      <c r="V75" s="229">
        <f t="shared" si="53"/>
        <v>157</v>
      </c>
      <c r="W75" s="16"/>
      <c r="X75" s="16"/>
      <c r="Y75" s="16"/>
      <c r="Z75" s="16"/>
      <c r="AA75" s="617"/>
      <c r="AB75" s="617"/>
      <c r="AC75" s="35"/>
      <c r="AD75" s="18"/>
      <c r="AE75" s="14">
        <f t="shared" si="43"/>
        <v>-107.00636942675146</v>
      </c>
      <c r="AF75" s="225">
        <f t="shared" si="50"/>
        <v>0.95541401273885351</v>
      </c>
      <c r="AG75" s="615"/>
    </row>
    <row r="76" spans="1:33" ht="15.75" customHeight="1">
      <c r="A76" s="620" t="s">
        <v>948</v>
      </c>
      <c r="B76" s="230" t="s">
        <v>32</v>
      </c>
      <c r="C76" s="616" t="s">
        <v>54</v>
      </c>
      <c r="D76" s="616"/>
      <c r="E76" s="29">
        <v>20.21</v>
      </c>
      <c r="F76" s="230">
        <v>3524</v>
      </c>
      <c r="G76" s="226">
        <f t="shared" si="51"/>
        <v>71220.040000000008</v>
      </c>
      <c r="H76" s="33" t="s">
        <v>57</v>
      </c>
      <c r="I76" s="228">
        <v>15</v>
      </c>
      <c r="J76" s="31">
        <v>2400</v>
      </c>
      <c r="K76" s="12">
        <f t="shared" si="45"/>
        <v>160</v>
      </c>
      <c r="L76" s="228">
        <v>15</v>
      </c>
      <c r="M76" s="13">
        <f t="shared" si="52"/>
        <v>2298.260869565217</v>
      </c>
      <c r="N76" s="12">
        <f t="shared" si="46"/>
        <v>153.21739130434781</v>
      </c>
      <c r="O76" s="14">
        <f t="shared" si="47"/>
        <v>0</v>
      </c>
      <c r="P76" s="15">
        <f t="shared" si="48"/>
        <v>-6.7826086956521863</v>
      </c>
      <c r="Q76" s="225">
        <f t="shared" si="49"/>
        <v>0.95760869565217388</v>
      </c>
      <c r="R76" s="615"/>
      <c r="S76" s="34">
        <v>0.37152777777777773</v>
      </c>
      <c r="T76" s="34">
        <v>0.43541666666666662</v>
      </c>
      <c r="U76" s="226">
        <f t="shared" si="54"/>
        <v>7.9999999999999716</v>
      </c>
      <c r="V76" s="229">
        <f t="shared" si="53"/>
        <v>92</v>
      </c>
      <c r="W76" s="16"/>
      <c r="X76" s="16"/>
      <c r="Y76" s="16"/>
      <c r="Z76" s="16"/>
      <c r="AA76" s="617"/>
      <c r="AB76" s="617"/>
      <c r="AC76" s="35"/>
      <c r="AD76" s="18"/>
      <c r="AE76" s="14">
        <f t="shared" si="43"/>
        <v>-101.73913043478296</v>
      </c>
      <c r="AF76" s="225">
        <f t="shared" si="50"/>
        <v>0.95760869565217377</v>
      </c>
      <c r="AG76" s="615"/>
    </row>
    <row r="77" spans="1:33" ht="15.75" customHeight="1">
      <c r="A77" s="620" t="s">
        <v>948</v>
      </c>
      <c r="B77" s="230" t="s">
        <v>32</v>
      </c>
      <c r="C77" s="616" t="s">
        <v>55</v>
      </c>
      <c r="D77" s="616"/>
      <c r="E77" s="29">
        <v>22.69</v>
      </c>
      <c r="F77" s="230">
        <v>4068</v>
      </c>
      <c r="G77" s="226">
        <f t="shared" si="51"/>
        <v>92302.92</v>
      </c>
      <c r="H77" s="33" t="s">
        <v>57</v>
      </c>
      <c r="I77" s="228">
        <v>15</v>
      </c>
      <c r="J77" s="31">
        <v>2400</v>
      </c>
      <c r="K77" s="12">
        <f t="shared" si="45"/>
        <v>160</v>
      </c>
      <c r="L77" s="228">
        <v>15</v>
      </c>
      <c r="M77" s="13">
        <f t="shared" si="52"/>
        <v>2281.1214953271024</v>
      </c>
      <c r="N77" s="12">
        <f t="shared" si="46"/>
        <v>152.07476635514016</v>
      </c>
      <c r="O77" s="14">
        <f t="shared" si="47"/>
        <v>0</v>
      </c>
      <c r="P77" s="15">
        <f t="shared" si="48"/>
        <v>-7.9252336448598442</v>
      </c>
      <c r="Q77" s="225">
        <f t="shared" si="49"/>
        <v>0.95046728971962602</v>
      </c>
      <c r="R77" s="615"/>
      <c r="S77" s="34">
        <v>0.43888888888888883</v>
      </c>
      <c r="T77" s="34">
        <v>0.5131944444444444</v>
      </c>
      <c r="U77" s="226">
        <f t="shared" si="54"/>
        <v>4.9999999999999822</v>
      </c>
      <c r="V77" s="229">
        <f t="shared" si="53"/>
        <v>107.00000000000001</v>
      </c>
      <c r="W77" s="16">
        <f>T77</f>
        <v>0.5131944444444444</v>
      </c>
      <c r="X77" s="16">
        <f>S78</f>
        <v>0.5527777777777777</v>
      </c>
      <c r="Y77" s="16"/>
      <c r="Z77" s="16"/>
      <c r="AA77" s="617"/>
      <c r="AB77" s="617"/>
      <c r="AC77" s="35"/>
      <c r="AD77" s="18"/>
      <c r="AE77" s="14">
        <f t="shared" si="43"/>
        <v>-118.87850467289763</v>
      </c>
      <c r="AF77" s="225">
        <f t="shared" si="50"/>
        <v>0.95046728971962602</v>
      </c>
      <c r="AG77" s="615"/>
    </row>
    <row r="78" spans="1:33" ht="15.75" customHeight="1">
      <c r="A78" s="620" t="s">
        <v>948</v>
      </c>
      <c r="B78" s="230" t="s">
        <v>32</v>
      </c>
      <c r="C78" s="616" t="s">
        <v>56</v>
      </c>
      <c r="D78" s="616"/>
      <c r="E78" s="29">
        <v>19.02</v>
      </c>
      <c r="F78" s="230">
        <v>5505</v>
      </c>
      <c r="G78" s="226">
        <f t="shared" si="51"/>
        <v>104705.09999999999</v>
      </c>
      <c r="H78" s="33" t="s">
        <v>57</v>
      </c>
      <c r="I78" s="228">
        <v>14</v>
      </c>
      <c r="J78" s="31">
        <v>2400</v>
      </c>
      <c r="K78" s="12">
        <f t="shared" si="45"/>
        <v>171.42857142857142</v>
      </c>
      <c r="L78" s="228">
        <v>14</v>
      </c>
      <c r="M78" s="13">
        <f t="shared" si="52"/>
        <v>2293.7500000000005</v>
      </c>
      <c r="N78" s="12">
        <f t="shared" si="46"/>
        <v>163.83928571428575</v>
      </c>
      <c r="O78" s="14">
        <f t="shared" si="47"/>
        <v>0</v>
      </c>
      <c r="P78" s="15">
        <f t="shared" si="48"/>
        <v>-7.5892857142856656</v>
      </c>
      <c r="Q78" s="225">
        <f t="shared" si="49"/>
        <v>0.95572916666666696</v>
      </c>
      <c r="R78" s="615"/>
      <c r="S78" s="34">
        <v>0.5527777777777777</v>
      </c>
      <c r="T78" s="34">
        <v>0.65277777777777768</v>
      </c>
      <c r="U78" s="226">
        <f t="shared" si="54"/>
        <v>56.999999999999957</v>
      </c>
      <c r="V78" s="229">
        <f t="shared" si="53"/>
        <v>143.99999999999997</v>
      </c>
      <c r="W78" s="16"/>
      <c r="X78" s="16"/>
      <c r="Y78" s="16"/>
      <c r="Z78" s="16"/>
      <c r="AA78" s="617"/>
      <c r="AB78" s="617"/>
      <c r="AC78" s="35"/>
      <c r="AD78" s="18"/>
      <c r="AE78" s="14">
        <f t="shared" si="43"/>
        <v>-106.24999999999955</v>
      </c>
      <c r="AF78" s="225">
        <f t="shared" si="50"/>
        <v>0.95572916666666685</v>
      </c>
      <c r="AG78" s="615"/>
    </row>
    <row r="79" spans="1:33" ht="15.75" customHeight="1">
      <c r="A79" s="620" t="s">
        <v>948</v>
      </c>
      <c r="B79" s="230" t="s">
        <v>32</v>
      </c>
      <c r="C79" s="622" t="s">
        <v>949</v>
      </c>
      <c r="D79" s="623"/>
      <c r="E79" s="29">
        <v>25.98</v>
      </c>
      <c r="F79" s="230">
        <v>4275</v>
      </c>
      <c r="G79" s="226">
        <f t="shared" si="51"/>
        <v>111064.5</v>
      </c>
      <c r="H79" s="33" t="s">
        <v>57</v>
      </c>
      <c r="I79" s="228">
        <v>17</v>
      </c>
      <c r="J79" s="31">
        <v>2400</v>
      </c>
      <c r="K79" s="12">
        <f t="shared" si="45"/>
        <v>141.1764705882353</v>
      </c>
      <c r="L79" s="228">
        <v>17</v>
      </c>
      <c r="M79" s="13">
        <f t="shared" si="52"/>
        <v>2290.1785714285734</v>
      </c>
      <c r="N79" s="12">
        <f t="shared" si="46"/>
        <v>134.71638655462198</v>
      </c>
      <c r="O79" s="14">
        <f t="shared" si="47"/>
        <v>0</v>
      </c>
      <c r="P79" s="15">
        <f t="shared" si="48"/>
        <v>-6.4600840336133274</v>
      </c>
      <c r="Q79" s="225">
        <f t="shared" si="49"/>
        <v>0.95424107142857229</v>
      </c>
      <c r="R79" s="615"/>
      <c r="S79" s="34">
        <v>0.65833333333333321</v>
      </c>
      <c r="T79" s="34">
        <v>0.73611111111111094</v>
      </c>
      <c r="U79" s="226">
        <f t="shared" si="54"/>
        <v>7.9999999999999716</v>
      </c>
      <c r="V79" s="229">
        <f t="shared" si="53"/>
        <v>111.99999999999991</v>
      </c>
      <c r="W79" s="16"/>
      <c r="X79" s="16"/>
      <c r="Y79" s="19"/>
      <c r="Z79" s="19"/>
      <c r="AA79" s="624"/>
      <c r="AB79" s="625"/>
      <c r="AC79" s="35"/>
      <c r="AD79" s="18"/>
      <c r="AE79" s="14">
        <f t="shared" si="43"/>
        <v>-109.82142857142662</v>
      </c>
      <c r="AF79" s="225">
        <f t="shared" si="50"/>
        <v>0.95424107142857229</v>
      </c>
      <c r="AG79" s="615"/>
    </row>
    <row r="80" spans="1:33" ht="15.75" customHeight="1">
      <c r="A80" s="620" t="s">
        <v>948</v>
      </c>
      <c r="B80" s="230" t="s">
        <v>32</v>
      </c>
      <c r="C80" s="622" t="s">
        <v>36</v>
      </c>
      <c r="D80" s="623"/>
      <c r="E80" s="29">
        <v>20.36</v>
      </c>
      <c r="F80" s="230">
        <v>2200</v>
      </c>
      <c r="G80" s="226">
        <f t="shared" si="51"/>
        <v>44792</v>
      </c>
      <c r="H80" s="33" t="s">
        <v>57</v>
      </c>
      <c r="I80" s="228">
        <v>17</v>
      </c>
      <c r="J80" s="31">
        <v>2400</v>
      </c>
      <c r="K80" s="12">
        <f t="shared" si="45"/>
        <v>141.1764705882353</v>
      </c>
      <c r="L80" s="228">
        <v>17</v>
      </c>
      <c r="M80" s="13">
        <f t="shared" si="52"/>
        <v>2315.7894736842122</v>
      </c>
      <c r="N80" s="12">
        <f t="shared" si="46"/>
        <v>136.22291021671836</v>
      </c>
      <c r="O80" s="14">
        <f t="shared" si="47"/>
        <v>0</v>
      </c>
      <c r="P80" s="15">
        <f t="shared" si="48"/>
        <v>-4.953560371516943</v>
      </c>
      <c r="Q80" s="225">
        <f t="shared" si="49"/>
        <v>0.96491228070175494</v>
      </c>
      <c r="R80" s="615"/>
      <c r="S80" s="34">
        <v>0.74027777777777759</v>
      </c>
      <c r="T80" s="34">
        <v>0.77986111111111089</v>
      </c>
      <c r="U80" s="226">
        <f t="shared" si="54"/>
        <v>5.9999999999999787</v>
      </c>
      <c r="V80" s="229">
        <f t="shared" si="53"/>
        <v>56.999999999999957</v>
      </c>
      <c r="W80" s="16"/>
      <c r="X80" s="16"/>
      <c r="Y80" s="19"/>
      <c r="Z80" s="19"/>
      <c r="AA80" s="624"/>
      <c r="AB80" s="625"/>
      <c r="AC80" s="35"/>
      <c r="AD80" s="18"/>
      <c r="AE80" s="14">
        <f t="shared" si="43"/>
        <v>-84.210526315787774</v>
      </c>
      <c r="AF80" s="225">
        <f t="shared" si="50"/>
        <v>0.96491228070175505</v>
      </c>
      <c r="AG80" s="615"/>
    </row>
    <row r="81" spans="1:33" ht="16.5" customHeight="1">
      <c r="A81" s="621" t="s">
        <v>948</v>
      </c>
      <c r="B81" s="29" t="s">
        <v>935</v>
      </c>
      <c r="C81" s="612"/>
      <c r="D81" s="613"/>
      <c r="E81" s="227"/>
      <c r="F81" s="30"/>
      <c r="G81" s="12"/>
      <c r="H81" s="230"/>
      <c r="I81" s="23">
        <v>15.875</v>
      </c>
      <c r="J81" s="31">
        <v>2400</v>
      </c>
      <c r="K81" s="12">
        <f t="shared" si="45"/>
        <v>151.18110236220471</v>
      </c>
      <c r="L81" s="23">
        <v>15.875</v>
      </c>
      <c r="M81" s="13">
        <f>AVERAGE(M73:M80)</f>
        <v>2295.0385407865801</v>
      </c>
      <c r="N81" s="12">
        <f t="shared" si="46"/>
        <v>144.56935689994205</v>
      </c>
      <c r="O81" s="14">
        <f t="shared" si="47"/>
        <v>0</v>
      </c>
      <c r="P81" s="15">
        <f t="shared" si="48"/>
        <v>-6.611745462262661</v>
      </c>
      <c r="Q81" s="225">
        <f t="shared" si="49"/>
        <v>0.95626605866107506</v>
      </c>
      <c r="R81" s="615"/>
      <c r="S81" s="34"/>
      <c r="T81" s="34"/>
      <c r="U81" s="12"/>
      <c r="V81" s="229"/>
      <c r="W81" s="12"/>
      <c r="X81" s="12"/>
      <c r="Y81" s="24">
        <f>SUM(Y73:Y80)</f>
        <v>0</v>
      </c>
      <c r="Z81" s="24">
        <f>SUM(Z73:Z80)</f>
        <v>0</v>
      </c>
      <c r="AA81" s="614"/>
      <c r="AB81" s="614"/>
      <c r="AC81" s="24">
        <v>8</v>
      </c>
      <c r="AD81" s="24">
        <f>SUM(AD73:AD80)</f>
        <v>0</v>
      </c>
      <c r="AE81" s="14">
        <f t="shared" si="43"/>
        <v>-104.96145921341986</v>
      </c>
      <c r="AF81" s="225">
        <f t="shared" si="50"/>
        <v>0.95626605866107506</v>
      </c>
      <c r="AG81" s="615"/>
    </row>
    <row r="82" spans="1:33">
      <c r="D82" s="25"/>
      <c r="E82" s="25"/>
    </row>
  </sheetData>
  <mergeCells count="203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24:AG32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24:A32"/>
    <mergeCell ref="C24:D24"/>
    <mergeCell ref="R24:R32"/>
    <mergeCell ref="AA24:AB24"/>
    <mergeCell ref="C32:D32"/>
    <mergeCell ref="AA32:AB32"/>
    <mergeCell ref="A33:A41"/>
    <mergeCell ref="C33:D33"/>
    <mergeCell ref="R33:R41"/>
    <mergeCell ref="AA33:AB33"/>
    <mergeCell ref="AA38:AB38"/>
    <mergeCell ref="C39:D39"/>
    <mergeCell ref="AA39:AB39"/>
    <mergeCell ref="C41:D41"/>
    <mergeCell ref="AG33:AG41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41:AB41"/>
    <mergeCell ref="A56:A66"/>
    <mergeCell ref="AG51:AG55"/>
    <mergeCell ref="C52:D52"/>
    <mergeCell ref="AA52:AB52"/>
    <mergeCell ref="C53:D53"/>
    <mergeCell ref="AA53:AB53"/>
    <mergeCell ref="C54:D54"/>
    <mergeCell ref="C48:D48"/>
    <mergeCell ref="AA48:AB48"/>
    <mergeCell ref="C49:D49"/>
    <mergeCell ref="AA49:AB49"/>
    <mergeCell ref="C50:D50"/>
    <mergeCell ref="AA50:AB50"/>
    <mergeCell ref="AG42:AG50"/>
    <mergeCell ref="AA54:AB54"/>
    <mergeCell ref="C55:D55"/>
    <mergeCell ref="AA55:AB55"/>
    <mergeCell ref="C45:D45"/>
    <mergeCell ref="AA45:AB45"/>
    <mergeCell ref="C46:D46"/>
    <mergeCell ref="AA46:AB46"/>
    <mergeCell ref="C47:D47"/>
    <mergeCell ref="AA47:AB47"/>
    <mergeCell ref="A51:A55"/>
    <mergeCell ref="C51:D51"/>
    <mergeCell ref="R51:R55"/>
    <mergeCell ref="AA51:AB51"/>
    <mergeCell ref="AA44:AB44"/>
    <mergeCell ref="A42:A50"/>
    <mergeCell ref="C42:D42"/>
    <mergeCell ref="R42:R50"/>
    <mergeCell ref="AA42:AB42"/>
    <mergeCell ref="C43:D43"/>
    <mergeCell ref="AA43:AB43"/>
    <mergeCell ref="C44:D44"/>
    <mergeCell ref="AG56:AG66"/>
    <mergeCell ref="C57:D57"/>
    <mergeCell ref="AA57:AB57"/>
    <mergeCell ref="C58:D58"/>
    <mergeCell ref="AA58:AB58"/>
    <mergeCell ref="AA59:AB59"/>
    <mergeCell ref="AA60:AB60"/>
    <mergeCell ref="C61:D61"/>
    <mergeCell ref="AA61:AB61"/>
    <mergeCell ref="C62:D62"/>
    <mergeCell ref="C65:D65"/>
    <mergeCell ref="AA65:AB65"/>
    <mergeCell ref="C66:D66"/>
    <mergeCell ref="AA66:AB66"/>
    <mergeCell ref="C56:D56"/>
    <mergeCell ref="R56:R66"/>
    <mergeCell ref="AA56:AB56"/>
    <mergeCell ref="AA62:AB62"/>
    <mergeCell ref="C63:D63"/>
    <mergeCell ref="AA63:AB63"/>
    <mergeCell ref="A67:A72"/>
    <mergeCell ref="C67:D67"/>
    <mergeCell ref="R67:R72"/>
    <mergeCell ref="AA67:AB67"/>
    <mergeCell ref="AA72:AB72"/>
    <mergeCell ref="AG67:AG72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73:A81"/>
    <mergeCell ref="C73:D73"/>
    <mergeCell ref="R73:R81"/>
    <mergeCell ref="AA73:AB73"/>
    <mergeCell ref="AG73:AG81"/>
    <mergeCell ref="C74:D74"/>
    <mergeCell ref="AA74:AB74"/>
    <mergeCell ref="C75:D75"/>
    <mergeCell ref="AA75:AB75"/>
    <mergeCell ref="C76:D76"/>
    <mergeCell ref="C80:D80"/>
    <mergeCell ref="AA80:AB80"/>
    <mergeCell ref="C81:D81"/>
    <mergeCell ref="AA81:AB81"/>
    <mergeCell ref="AA76:AB76"/>
    <mergeCell ref="C77:D77"/>
    <mergeCell ref="AA77:AB77"/>
    <mergeCell ref="C78:D78"/>
    <mergeCell ref="AA78:AB78"/>
    <mergeCell ref="C79:D79"/>
    <mergeCell ref="AA79:AB79"/>
  </mergeCells>
  <phoneticPr fontId="3" type="noConversion"/>
  <conditionalFormatting sqref="O70:O78 O66:O67 O81 O5:O10 O14:O16 O23:O61">
    <cfRule type="cellIs" dxfId="633" priority="74" operator="greaterThan">
      <formula>0</formula>
    </cfRule>
  </conditionalFormatting>
  <conditionalFormatting sqref="P5:P8 P70:P71 AE70:AE71 P73:P78 P33:P40 P67 P10 P14:P16 P24:P31 P56:P61 P42:P54 AE5:AE67 AE73:AE81">
    <cfRule type="cellIs" dxfId="632" priority="78" operator="lessThan">
      <formula>0</formula>
    </cfRule>
  </conditionalFormatting>
  <conditionalFormatting sqref="AF70:AF71 Q70:Q78 Q66:Q67 Q81 Q5:Q10 Q14:Q16 Q23:Q61 AF5:AF67 AF73:AF81">
    <cfRule type="cellIs" dxfId="631" priority="75" operator="greaterThan">
      <formula>1</formula>
    </cfRule>
    <cfRule type="cellIs" dxfId="630" priority="76" operator="lessThan">
      <formula>0.8</formula>
    </cfRule>
  </conditionalFormatting>
  <conditionalFormatting sqref="AG15:AG16 R15:R16 AG70 R70:R78 R23:R29 AG23:AG29 AG66:AG67 R66:R67 R81 AG5:AG10 R5:R10 AG32:AG61 R32:R61">
    <cfRule type="cellIs" dxfId="629" priority="80" operator="lessThan">
      <formula>0.8</formula>
    </cfRule>
  </conditionalFormatting>
  <conditionalFormatting sqref="AG51">
    <cfRule type="cellIs" dxfId="628" priority="82" operator="lessThan">
      <formula>0.8</formula>
    </cfRule>
  </conditionalFormatting>
  <conditionalFormatting sqref="AG24:AG29">
    <cfRule type="cellIs" dxfId="627" priority="79" operator="lessThan">
      <formula>0.8</formula>
    </cfRule>
  </conditionalFormatting>
  <conditionalFormatting sqref="AG33">
    <cfRule type="cellIs" dxfId="626" priority="81" operator="lessThan">
      <formula>0.8</formula>
    </cfRule>
  </conditionalFormatting>
  <conditionalFormatting sqref="AG42:AG49">
    <cfRule type="cellIs" dxfId="625" priority="77" operator="lessThan">
      <formula>0.8</formula>
    </cfRule>
  </conditionalFormatting>
  <conditionalFormatting sqref="AE72">
    <cfRule type="cellIs" dxfId="624" priority="73" operator="lessThan">
      <formula>0</formula>
    </cfRule>
  </conditionalFormatting>
  <conditionalFormatting sqref="AF72">
    <cfRule type="cellIs" dxfId="623" priority="71" operator="greaterThan">
      <formula>1</formula>
    </cfRule>
    <cfRule type="cellIs" dxfId="622" priority="72" operator="lessThan">
      <formula>0.8</formula>
    </cfRule>
  </conditionalFormatting>
  <conditionalFormatting sqref="O17:O18">
    <cfRule type="cellIs" dxfId="621" priority="66" operator="greaterThan">
      <formula>0</formula>
    </cfRule>
  </conditionalFormatting>
  <conditionalFormatting sqref="P17:P18">
    <cfRule type="cellIs" dxfId="620" priority="69" operator="lessThan">
      <formula>0</formula>
    </cfRule>
  </conditionalFormatting>
  <conditionalFormatting sqref="Q17:Q18">
    <cfRule type="cellIs" dxfId="619" priority="67" operator="greaterThan">
      <formula>1</formula>
    </cfRule>
    <cfRule type="cellIs" dxfId="618" priority="68" operator="lessThan">
      <formula>0.8</formula>
    </cfRule>
  </conditionalFormatting>
  <conditionalFormatting sqref="R17:R18 AG17:AG18">
    <cfRule type="cellIs" dxfId="617" priority="70" operator="lessThan">
      <formula>0.8</formula>
    </cfRule>
  </conditionalFormatting>
  <conditionalFormatting sqref="O11:O13">
    <cfRule type="cellIs" dxfId="616" priority="62" operator="greaterThan">
      <formula>0</formula>
    </cfRule>
  </conditionalFormatting>
  <conditionalFormatting sqref="P11:P13">
    <cfRule type="cellIs" dxfId="615" priority="65" operator="lessThan">
      <formula>0</formula>
    </cfRule>
  </conditionalFormatting>
  <conditionalFormatting sqref="Q11:Q13">
    <cfRule type="cellIs" dxfId="614" priority="63" operator="greaterThan">
      <formula>1</formula>
    </cfRule>
    <cfRule type="cellIs" dxfId="613" priority="64" operator="lessThan">
      <formula>0.8</formula>
    </cfRule>
  </conditionalFormatting>
  <conditionalFormatting sqref="O62">
    <cfRule type="cellIs" dxfId="612" priority="57" operator="greaterThan">
      <formula>0</formula>
    </cfRule>
  </conditionalFormatting>
  <conditionalFormatting sqref="P62">
    <cfRule type="cellIs" dxfId="611" priority="60" operator="lessThan">
      <formula>0</formula>
    </cfRule>
  </conditionalFormatting>
  <conditionalFormatting sqref="Q62">
    <cfRule type="cellIs" dxfId="610" priority="58" operator="greaterThan">
      <formula>1</formula>
    </cfRule>
    <cfRule type="cellIs" dxfId="609" priority="59" operator="lessThan">
      <formula>0.8</formula>
    </cfRule>
  </conditionalFormatting>
  <conditionalFormatting sqref="R62 AG62">
    <cfRule type="cellIs" dxfId="608" priority="61" operator="lessThan">
      <formula>0.8</formula>
    </cfRule>
  </conditionalFormatting>
  <conditionalFormatting sqref="AG31 R31">
    <cfRule type="cellIs" dxfId="607" priority="56" operator="lessThan">
      <formula>0.8</formula>
    </cfRule>
  </conditionalFormatting>
  <conditionalFormatting sqref="O69">
    <cfRule type="cellIs" dxfId="606" priority="51" operator="greaterThan">
      <formula>0</formula>
    </cfRule>
  </conditionalFormatting>
  <conditionalFormatting sqref="P69 AE69">
    <cfRule type="cellIs" dxfId="605" priority="54" operator="lessThan">
      <formula>0</formula>
    </cfRule>
  </conditionalFormatting>
  <conditionalFormatting sqref="Q69 AF69">
    <cfRule type="cellIs" dxfId="604" priority="52" operator="greaterThan">
      <formula>1</formula>
    </cfRule>
    <cfRule type="cellIs" dxfId="603" priority="53" operator="lessThan">
      <formula>0.8</formula>
    </cfRule>
  </conditionalFormatting>
  <conditionalFormatting sqref="R69 AG69">
    <cfRule type="cellIs" dxfId="602" priority="55" operator="lessThan">
      <formula>0.8</formula>
    </cfRule>
  </conditionalFormatting>
  <conditionalFormatting sqref="O79">
    <cfRule type="cellIs" dxfId="601" priority="46" operator="greaterThan">
      <formula>0</formula>
    </cfRule>
  </conditionalFormatting>
  <conditionalFormatting sqref="P79">
    <cfRule type="cellIs" dxfId="600" priority="49" operator="lessThan">
      <formula>0</formula>
    </cfRule>
  </conditionalFormatting>
  <conditionalFormatting sqref="Q79">
    <cfRule type="cellIs" dxfId="599" priority="47" operator="greaterThan">
      <formula>1</formula>
    </cfRule>
    <cfRule type="cellIs" dxfId="598" priority="48" operator="lessThan">
      <formula>0.8</formula>
    </cfRule>
  </conditionalFormatting>
  <conditionalFormatting sqref="R79">
    <cfRule type="cellIs" dxfId="597" priority="50" operator="lessThan">
      <formula>0.8</formula>
    </cfRule>
  </conditionalFormatting>
  <conditionalFormatting sqref="O19:O20">
    <cfRule type="cellIs" dxfId="596" priority="41" operator="greaterThan">
      <formula>0</formula>
    </cfRule>
  </conditionalFormatting>
  <conditionalFormatting sqref="P19:P20">
    <cfRule type="cellIs" dxfId="595" priority="44" operator="lessThan">
      <formula>0</formula>
    </cfRule>
  </conditionalFormatting>
  <conditionalFormatting sqref="Q19:Q20">
    <cfRule type="cellIs" dxfId="594" priority="42" operator="greaterThan">
      <formula>1</formula>
    </cfRule>
    <cfRule type="cellIs" dxfId="593" priority="43" operator="lessThan">
      <formula>0.8</formula>
    </cfRule>
  </conditionalFormatting>
  <conditionalFormatting sqref="R19:R20 AG19:AG20">
    <cfRule type="cellIs" dxfId="592" priority="45" operator="lessThan">
      <formula>0.8</formula>
    </cfRule>
  </conditionalFormatting>
  <conditionalFormatting sqref="O63">
    <cfRule type="cellIs" dxfId="591" priority="36" operator="greaterThan">
      <formula>0</formula>
    </cfRule>
  </conditionalFormatting>
  <conditionalFormatting sqref="P63">
    <cfRule type="cellIs" dxfId="590" priority="39" operator="lessThan">
      <formula>0</formula>
    </cfRule>
  </conditionalFormatting>
  <conditionalFormatting sqref="Q63">
    <cfRule type="cellIs" dxfId="589" priority="37" operator="greaterThan">
      <formula>1</formula>
    </cfRule>
    <cfRule type="cellIs" dxfId="588" priority="38" operator="lessThan">
      <formula>0.8</formula>
    </cfRule>
  </conditionalFormatting>
  <conditionalFormatting sqref="AG63 R63">
    <cfRule type="cellIs" dxfId="587" priority="40" operator="lessThan">
      <formula>0.8</formula>
    </cfRule>
  </conditionalFormatting>
  <conditionalFormatting sqref="R30 AG30">
    <cfRule type="cellIs" dxfId="586" priority="35" operator="lessThan">
      <formula>0.8</formula>
    </cfRule>
  </conditionalFormatting>
  <conditionalFormatting sqref="AG30">
    <cfRule type="cellIs" dxfId="585" priority="34" operator="lessThan">
      <formula>0.8</formula>
    </cfRule>
  </conditionalFormatting>
  <conditionalFormatting sqref="O68">
    <cfRule type="cellIs" dxfId="584" priority="29" operator="greaterThan">
      <formula>0</formula>
    </cfRule>
  </conditionalFormatting>
  <conditionalFormatting sqref="P68 AE68">
    <cfRule type="cellIs" dxfId="583" priority="32" operator="lessThan">
      <formula>0</formula>
    </cfRule>
  </conditionalFormatting>
  <conditionalFormatting sqref="Q68 AF68">
    <cfRule type="cellIs" dxfId="582" priority="30" operator="greaterThan">
      <formula>1</formula>
    </cfRule>
    <cfRule type="cellIs" dxfId="581" priority="31" operator="lessThan">
      <formula>0.8</formula>
    </cfRule>
  </conditionalFormatting>
  <conditionalFormatting sqref="R68 AG68">
    <cfRule type="cellIs" dxfId="580" priority="33" operator="lessThan">
      <formula>0.8</formula>
    </cfRule>
  </conditionalFormatting>
  <conditionalFormatting sqref="O21">
    <cfRule type="cellIs" dxfId="579" priority="24" operator="greaterThan">
      <formula>0</formula>
    </cfRule>
  </conditionalFormatting>
  <conditionalFormatting sqref="P21">
    <cfRule type="cellIs" dxfId="578" priority="27" operator="lessThan">
      <formula>0</formula>
    </cfRule>
  </conditionalFormatting>
  <conditionalFormatting sqref="Q21">
    <cfRule type="cellIs" dxfId="577" priority="25" operator="greaterThan">
      <formula>1</formula>
    </cfRule>
    <cfRule type="cellIs" dxfId="576" priority="26" operator="lessThan">
      <formula>0.8</formula>
    </cfRule>
  </conditionalFormatting>
  <conditionalFormatting sqref="AG21 R21">
    <cfRule type="cellIs" dxfId="575" priority="28" operator="lessThan">
      <formula>0.8</formula>
    </cfRule>
  </conditionalFormatting>
  <conditionalFormatting sqref="O22">
    <cfRule type="cellIs" dxfId="574" priority="19" operator="greaterThan">
      <formula>0</formula>
    </cfRule>
  </conditionalFormatting>
  <conditionalFormatting sqref="P22">
    <cfRule type="cellIs" dxfId="573" priority="22" operator="lessThan">
      <formula>0</formula>
    </cfRule>
  </conditionalFormatting>
  <conditionalFormatting sqref="Q22">
    <cfRule type="cellIs" dxfId="572" priority="20" operator="greaterThan">
      <formula>1</formula>
    </cfRule>
    <cfRule type="cellIs" dxfId="571" priority="21" operator="lessThan">
      <formula>0.8</formula>
    </cfRule>
  </conditionalFormatting>
  <conditionalFormatting sqref="AG22 R22">
    <cfRule type="cellIs" dxfId="570" priority="23" operator="lessThan">
      <formula>0.8</formula>
    </cfRule>
  </conditionalFormatting>
  <conditionalFormatting sqref="P9">
    <cfRule type="cellIs" dxfId="569" priority="18" operator="lessThan">
      <formula>0</formula>
    </cfRule>
  </conditionalFormatting>
  <conditionalFormatting sqref="P23">
    <cfRule type="cellIs" dxfId="568" priority="17" operator="lessThan">
      <formula>0</formula>
    </cfRule>
  </conditionalFormatting>
  <conditionalFormatting sqref="P32">
    <cfRule type="cellIs" dxfId="567" priority="16" operator="lessThan">
      <formula>0</formula>
    </cfRule>
  </conditionalFormatting>
  <conditionalFormatting sqref="P41">
    <cfRule type="cellIs" dxfId="566" priority="15" operator="lessThan">
      <formula>0</formula>
    </cfRule>
  </conditionalFormatting>
  <conditionalFormatting sqref="P55">
    <cfRule type="cellIs" dxfId="565" priority="14" operator="lessThan">
      <formula>0</formula>
    </cfRule>
  </conditionalFormatting>
  <conditionalFormatting sqref="P66">
    <cfRule type="cellIs" dxfId="564" priority="13" operator="lessThan">
      <formula>0</formula>
    </cfRule>
  </conditionalFormatting>
  <conditionalFormatting sqref="P72">
    <cfRule type="cellIs" dxfId="563" priority="12" operator="lessThan">
      <formula>0</formula>
    </cfRule>
  </conditionalFormatting>
  <conditionalFormatting sqref="P81">
    <cfRule type="cellIs" dxfId="562" priority="11" operator="lessThan">
      <formula>0</formula>
    </cfRule>
  </conditionalFormatting>
  <conditionalFormatting sqref="O80">
    <cfRule type="cellIs" dxfId="561" priority="6" operator="greaterThan">
      <formula>0</formula>
    </cfRule>
  </conditionalFormatting>
  <conditionalFormatting sqref="P80">
    <cfRule type="cellIs" dxfId="560" priority="9" operator="lessThan">
      <formula>0</formula>
    </cfRule>
  </conditionalFormatting>
  <conditionalFormatting sqref="Q80">
    <cfRule type="cellIs" dxfId="559" priority="7" operator="greaterThan">
      <formula>1</formula>
    </cfRule>
    <cfRule type="cellIs" dxfId="558" priority="8" operator="lessThan">
      <formula>0.8</formula>
    </cfRule>
  </conditionalFormatting>
  <conditionalFormatting sqref="R80">
    <cfRule type="cellIs" dxfId="557" priority="10" operator="lessThan">
      <formula>0.8</formula>
    </cfRule>
  </conditionalFormatting>
  <conditionalFormatting sqref="O64:O65">
    <cfRule type="cellIs" dxfId="556" priority="1" operator="greaterThan">
      <formula>0</formula>
    </cfRule>
  </conditionalFormatting>
  <conditionalFormatting sqref="P64:P65">
    <cfRule type="cellIs" dxfId="555" priority="4" operator="lessThan">
      <formula>0</formula>
    </cfRule>
  </conditionalFormatting>
  <conditionalFormatting sqref="Q64:Q65">
    <cfRule type="cellIs" dxfId="554" priority="2" operator="greaterThan">
      <formula>1</formula>
    </cfRule>
    <cfRule type="cellIs" dxfId="553" priority="3" operator="lessThan">
      <formula>0.8</formula>
    </cfRule>
  </conditionalFormatting>
  <conditionalFormatting sqref="AG64:AG65 R64:R65">
    <cfRule type="cellIs" dxfId="552" priority="5" operator="lessThan">
      <formula>0.8</formula>
    </cfRule>
  </conditionalFormatting>
  <dataValidations count="1">
    <dataValidation type="list" allowBlank="1" showInputMessage="1" showErrorMessage="1" sqref="AB9 AA5:AB8 AB71 AA9:AA71 AB11:AB67 AA72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8" sqref="E8:F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740</v>
      </c>
      <c r="C3" s="601" t="str">
        <f>TEXT('0608 4度C'!A2,"yyyy.mm.ddaaaa")</f>
        <v>2026.06.08星期一</v>
      </c>
      <c r="D3" s="602"/>
      <c r="E3" s="39" t="s">
        <v>741</v>
      </c>
      <c r="F3" s="603">
        <f>'0608 4度C'!D1</f>
        <v>208194</v>
      </c>
      <c r="G3" s="604"/>
      <c r="H3" s="39" t="s">
        <v>91</v>
      </c>
      <c r="I3" s="605">
        <f>'0608 4度C'!F1</f>
        <v>7304533.9900000012</v>
      </c>
      <c r="J3" s="606"/>
      <c r="K3" s="40"/>
      <c r="L3" s="41"/>
      <c r="M3" s="42"/>
      <c r="N3" s="42"/>
    </row>
    <row r="4" spans="2:17" ht="28.5" customHeight="1">
      <c r="B4" s="607" t="s">
        <v>742</v>
      </c>
      <c r="C4" s="593" t="s">
        <v>743</v>
      </c>
      <c r="D4" s="594"/>
      <c r="E4" s="610" t="s">
        <v>744</v>
      </c>
      <c r="F4" s="611"/>
      <c r="G4" s="610" t="s">
        <v>745</v>
      </c>
      <c r="H4" s="611"/>
      <c r="I4" s="610" t="s">
        <v>746</v>
      </c>
      <c r="J4" s="611"/>
      <c r="K4" s="591" t="s">
        <v>97</v>
      </c>
      <c r="L4" s="592"/>
      <c r="M4" s="592" t="s">
        <v>74</v>
      </c>
      <c r="N4" s="592"/>
    </row>
    <row r="5" spans="2:17" ht="28.5" customHeight="1">
      <c r="B5" s="608"/>
      <c r="C5" s="593" t="s">
        <v>747</v>
      </c>
      <c r="D5" s="594"/>
      <c r="E5" s="593" t="s">
        <v>748</v>
      </c>
      <c r="F5" s="594"/>
      <c r="G5" s="595" t="s">
        <v>749</v>
      </c>
      <c r="H5" s="596"/>
      <c r="I5" s="597" t="s">
        <v>750</v>
      </c>
      <c r="J5" s="598"/>
      <c r="K5" s="43" t="s">
        <v>751</v>
      </c>
      <c r="L5" s="44" t="s">
        <v>78</v>
      </c>
      <c r="M5" s="43" t="s">
        <v>752</v>
      </c>
      <c r="N5" s="44" t="s">
        <v>753</v>
      </c>
    </row>
    <row r="6" spans="2:17" ht="28.5" customHeight="1">
      <c r="B6" s="608"/>
      <c r="C6" s="593" t="s">
        <v>58</v>
      </c>
      <c r="D6" s="594"/>
      <c r="E6" s="585">
        <f>AVERAGE(D13:M13)</f>
        <v>154.01026966866078</v>
      </c>
      <c r="F6" s="586">
        <f>AVERAGE(D31:O31,D13:J13)</f>
        <v>160.69254441301246</v>
      </c>
      <c r="G6" s="587">
        <f>AVERAGE(D13:J13)</f>
        <v>160.69254441301246</v>
      </c>
      <c r="H6" s="588"/>
      <c r="I6" s="587">
        <f>AVERAGE(K13:M13)</f>
        <v>138.41829526517355</v>
      </c>
      <c r="J6" s="588"/>
      <c r="K6" s="589">
        <f>'0608 4度C'!Y2</f>
        <v>0</v>
      </c>
      <c r="L6" s="574">
        <f>'0608 4度C'!Z2</f>
        <v>0</v>
      </c>
      <c r="M6" s="590">
        <f>'0608 4度C'!AC2</f>
        <v>63</v>
      </c>
      <c r="N6" s="574">
        <f>'0608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147.41511829295027</v>
      </c>
      <c r="F7" s="578">
        <f>AVERAGE(D32:O32,D14:J14)</f>
        <v>153.91546855895649</v>
      </c>
      <c r="G7" s="579">
        <f>AVERAGE(D14:J14)</f>
        <v>153.91546855895649</v>
      </c>
      <c r="H7" s="580"/>
      <c r="I7" s="579">
        <f>AVERAGE(K14:M14)</f>
        <v>132.24763433893574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0.95690266236658739</v>
      </c>
      <c r="F8" s="582">
        <f>AVERAGE(D15:J15,D33:O33)</f>
        <v>0.9575389788355283</v>
      </c>
      <c r="G8" s="583">
        <f>AVERAGE(D15:J15)</f>
        <v>0.9575389788355283</v>
      </c>
      <c r="H8" s="584"/>
      <c r="I8" s="583">
        <f>AVERAGE(K15:M15)</f>
        <v>0.95541792393905867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754</v>
      </c>
      <c r="N9" s="42"/>
      <c r="O9" s="42"/>
      <c r="P9" s="42"/>
      <c r="Q9" s="42"/>
    </row>
    <row r="10" spans="2:17" ht="30" customHeight="1">
      <c r="B10" s="557" t="s">
        <v>755</v>
      </c>
      <c r="C10" s="558"/>
      <c r="D10" s="559" t="s">
        <v>756</v>
      </c>
      <c r="E10" s="560"/>
      <c r="F10" s="560"/>
      <c r="G10" s="560"/>
      <c r="H10" s="560"/>
      <c r="I10" s="560"/>
      <c r="J10" s="561"/>
      <c r="K10" s="562" t="s">
        <v>757</v>
      </c>
      <c r="L10" s="563"/>
      <c r="M10" s="564"/>
      <c r="P10" s="48"/>
      <c r="Q10" s="48"/>
    </row>
    <row r="11" spans="2:17" ht="17.25" customHeight="1">
      <c r="B11" s="565" t="s">
        <v>758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759</v>
      </c>
      <c r="C13" s="55" t="s">
        <v>760</v>
      </c>
      <c r="D13" s="56">
        <f>SUMIFS('0608 4度C'!$K:$K,'0608 4度C'!$A:$A,"新豐6線",'0608 4度C'!$B:$B,"平均")</f>
        <v>129.03225806451613</v>
      </c>
      <c r="E13" s="57">
        <f>SUMIFS('0608 4度C'!$K:$K,'0608 4度C'!$A:$A,"新豐2線",'0608 4度C'!$B:$B,"平均")</f>
        <v>88.235294117647058</v>
      </c>
      <c r="F13" s="58">
        <f>SUMIFS('0608 4度C'!$K:$K,'0608 4度C'!$A:$A,"新豐5線",'0608 4度C'!$B:$B,"平均")</f>
        <v>87.786259541984734</v>
      </c>
      <c r="G13" s="58">
        <f>SUMIFS('0608 4度C'!$K:$K,'0608 4度C'!$A:$A,"新豐7線",'0608 4度C'!$B:$B,"平均")</f>
        <v>131.35593220338984</v>
      </c>
      <c r="H13" s="58">
        <f>SUMIFS('0608 4度C'!$K:$K,'0608 4度C'!$A:$A,"新豐3線",'0608 4度C'!$B:$B,"平均")</f>
        <v>255.81395348837211</v>
      </c>
      <c r="I13" s="58">
        <f>SUMIFS('0608 4度C'!$K:$K,'0608 4度C'!$A:$A,"新豐1線",'0608 4度C'!$B:$B,"平均")</f>
        <v>113.47517730496453</v>
      </c>
      <c r="J13" s="59">
        <f>SUMIFS('0608 4度C'!$K:$K,'0608 4度C'!$A:$A,"新豐10線",'0608 4度C'!$B:$B,"平均")</f>
        <v>319.14893617021278</v>
      </c>
      <c r="K13" s="60">
        <f>SUMIFS('0608 4度C'!$K:$K,'0608 4度C'!$A:$A,"新豐8線",'0608 4度C'!$B:$B,"平均")</f>
        <v>137.70491803278691</v>
      </c>
      <c r="L13" s="61">
        <f>SUMIFS('0608 4度C'!$K:$K,'0608 4度C'!$A:$A,"新豐9線",'0608 4度C'!$B:$B,"平均")</f>
        <v>124.822695035461</v>
      </c>
      <c r="M13" s="59">
        <f>SUMIFS('0608 4度C'!$K:$K,'0608 4度C'!$A:$A,"新豐4線",'0608 4度C'!$B:$B,"平均")</f>
        <v>152.72727272727275</v>
      </c>
    </row>
    <row r="14" spans="2:17" ht="39.6" customHeight="1">
      <c r="B14" s="570"/>
      <c r="C14" s="62" t="s">
        <v>111</v>
      </c>
      <c r="D14" s="63">
        <f>SUMIFS('0608 4度C'!$N:$N,'0608 4度C'!$A:$A,"新豐6線",'0608 4度C'!$B:$B,"平均")</f>
        <v>123.92808189972278</v>
      </c>
      <c r="E14" s="64">
        <f>SUMIFS('0608 4度C'!$N:$N,'0608 4度C'!$A:$A,"新豐2線",'0608 4度C'!$B:$B,"平均")</f>
        <v>84.273841136652834</v>
      </c>
      <c r="F14" s="64">
        <f>SUMIFS('0608 4度C'!$N:$N,'0608 4度C'!$A:$A,"新豐5線",'0608 4度C'!$B:$B,"平均")</f>
        <v>83.860003230524384</v>
      </c>
      <c r="G14" s="64">
        <f>SUMIFS('0608 4度C'!$N:$N,'0608 4度C'!$A:$A,"新豐7線",'0608 4度C'!$B:$B,"平均")</f>
        <v>125.95110825255051</v>
      </c>
      <c r="H14" s="64">
        <f>SUMIFS('0608 4度C'!$N:$N,'0608 4度C'!$A:$A,"新豐3線",'0608 4度C'!$B:$B,"平均")</f>
        <v>244.18371361132969</v>
      </c>
      <c r="I14" s="64">
        <f>SUMIFS('0608 4度C'!$N:$N,'0608 4度C'!$A:$A,"新豐1線",'0608 4度C'!$B:$B,"平均")</f>
        <v>108.74232696980509</v>
      </c>
      <c r="J14" s="65">
        <f>SUMIFS('0608 4度C'!$N:$N,'0608 4度C'!$A:$A,"新豐10線",'0608 4度C'!$B:$B,"平均")</f>
        <v>306.46920481211032</v>
      </c>
      <c r="K14" s="66">
        <f>SUMIFS('0608 4度C'!$N:$N,'0608 4度C'!$A:$A,"新豐8線",'0608 4度C'!$B:$B,"平均")</f>
        <v>131.39515092561351</v>
      </c>
      <c r="L14" s="67">
        <f>SUMIFS('0608 4度C'!$N:$N,'0608 4度C'!$A:$A,"新豐9線",'0608 4度C'!$B:$B,"平均")</f>
        <v>119.33687415636399</v>
      </c>
      <c r="M14" s="65">
        <f>SUMIFS('0608 4度C'!$N:$N,'0608 4度C'!$A:$A,"新豐4線",'0608 4度C'!$B:$B,"平均")</f>
        <v>146.01087793482967</v>
      </c>
    </row>
    <row r="15" spans="2:17" ht="40.15" customHeight="1">
      <c r="B15" s="571"/>
      <c r="C15" s="68" t="s">
        <v>761</v>
      </c>
      <c r="D15" s="69">
        <f t="shared" ref="D15:M15" si="0">D14/D13</f>
        <v>0.96044263472285163</v>
      </c>
      <c r="E15" s="70">
        <f t="shared" si="0"/>
        <v>0.95510353288206551</v>
      </c>
      <c r="F15" s="70">
        <f t="shared" si="0"/>
        <v>0.95527481940858205</v>
      </c>
      <c r="G15" s="70">
        <f t="shared" si="0"/>
        <v>0.95885359830973926</v>
      </c>
      <c r="H15" s="70">
        <f t="shared" si="0"/>
        <v>0.95453633502610691</v>
      </c>
      <c r="I15" s="70">
        <f t="shared" si="0"/>
        <v>0.9582917564214074</v>
      </c>
      <c r="J15" s="71">
        <f t="shared" si="0"/>
        <v>0.96027017507794565</v>
      </c>
      <c r="K15" s="69">
        <f t="shared" si="0"/>
        <v>0.95417907219790743</v>
      </c>
      <c r="L15" s="70">
        <f t="shared" si="0"/>
        <v>0.9560510940935979</v>
      </c>
      <c r="M15" s="71">
        <f t="shared" si="0"/>
        <v>0.95602360552567034</v>
      </c>
    </row>
    <row r="16" spans="2:17" ht="17.25" customHeight="1">
      <c r="B16" s="572" t="s">
        <v>113</v>
      </c>
      <c r="C16" s="72" t="s">
        <v>762</v>
      </c>
      <c r="D16" s="73">
        <f>VLOOKUP("新豐6線",'0608 4度C'!$A:$T,19,0)</f>
        <v>0.70833333333333337</v>
      </c>
      <c r="E16" s="74">
        <f>VLOOKUP("新豐2線",'0608 4度C'!$A:$T,19,0)</f>
        <v>8.3333333333333329E-2</v>
      </c>
      <c r="F16" s="74">
        <f>VLOOKUP("新豐5線",'0608 4度C'!$A:$T,19,0)</f>
        <v>8.3333333333333329E-2</v>
      </c>
      <c r="G16" s="74">
        <f>VLOOKUP("新豐7線",'0608 4度C'!$A:$T,19,0)</f>
        <v>0.20833333333333334</v>
      </c>
      <c r="H16" s="74">
        <f>VLOOKUP("新豐3線",'0608 4度C'!$A:$T,19,0)</f>
        <v>8.3333333333333329E-2</v>
      </c>
      <c r="I16" s="74">
        <f>VLOOKUP("新豐1線",'0608 4度C'!$A:$T,19,0)</f>
        <v>0.20833333333333334</v>
      </c>
      <c r="J16" s="75">
        <f>VLOOKUP("新豐10線",'0608 4度C'!$A:$T,19,0)</f>
        <v>0.20833333333333334</v>
      </c>
      <c r="K16" s="76">
        <f>VLOOKUP("新豐8線",'0608 4度C'!$A:$T,19,0)</f>
        <v>8.3333333333333329E-2</v>
      </c>
      <c r="L16" s="77">
        <f>VLOOKUP("新豐9線",'0608 4度C'!$A:$T,19,0)</f>
        <v>8.3333333333333329E-2</v>
      </c>
      <c r="M16" s="78">
        <f>VLOOKUP("新豐4線",'0608 4度C'!$A:$T,19,0)</f>
        <v>8.3333333333333329E-2</v>
      </c>
    </row>
    <row r="17" spans="2:13" ht="17.25" customHeight="1">
      <c r="B17" s="573"/>
      <c r="C17" s="72" t="s">
        <v>763</v>
      </c>
      <c r="D17" s="76">
        <f>LOOKUP(2,1/(('0608 4度C'!$A:$A="新豐6線")*('0608 4度C'!$T:$T&lt;&gt;"")),'0608 4度C'!$T:$T)</f>
        <v>0.91249999999999998</v>
      </c>
      <c r="E17" s="74">
        <f>LOOKUP(2,1/(('0608 4度C'!$A:$A="新豐2線")*('0608 4度C'!$T:$T&lt;&gt;"")),'0608 4度C'!$T:$T)</f>
        <v>0.7222222222222221</v>
      </c>
      <c r="F17" s="74">
        <f>LOOKUP(2,1/(('0608 4度C'!$A:$A="新豐5線")*('0608 4度C'!$T:$T&lt;&gt;"")),'0608 4度C'!$T:$T)</f>
        <v>0.82430555555555551</v>
      </c>
      <c r="G17" s="74">
        <f>LOOKUP(2,1/(('0608 4度C'!$A:$A="新豐7線")*('0608 4度C'!$T:$T&lt;&gt;"")),'0608 4度C'!$T:$T)</f>
        <v>0.93333333333333335</v>
      </c>
      <c r="H17" s="74">
        <f>LOOKUP(2,1/(('0608 4度C'!$A:$A="新豐3線")*('0608 4度C'!$T:$T&lt;&gt;"")),'0608 4度C'!$T:$T)</f>
        <v>0.42777777777777776</v>
      </c>
      <c r="I17" s="74">
        <f>LOOKUP(2,1/(('0608 4度C'!$A:$A="新豐1線")*('0608 4度C'!$T:$T&lt;&gt;"")),'0608 4度C'!$T:$T)</f>
        <v>0.94166666666666665</v>
      </c>
      <c r="J17" s="75">
        <f>LOOKUP(2,1/(('0608 4度C'!$A:$A="新豐10線")*('0608 4度C'!$T:$T&lt;&gt;"")),'0608 4度C'!$T:$T)</f>
        <v>0.4194444444444444</v>
      </c>
      <c r="K17" s="73">
        <f>LOOKUP(2,1/(('0608 4度C'!$A:$A="新豐8線")*('0608 4度C'!$T:$T&lt;&gt;"")),'0608 4度C'!$T:$T)</f>
        <v>0.7402777777777777</v>
      </c>
      <c r="L17" s="74">
        <f>LOOKUP(2,1/(('0608 4度C'!$A:$A="新豐9線")*('0608 4度C'!$T:$T&lt;&gt;"")),'0608 4度C'!$T:$T)</f>
        <v>0.74444444444444435</v>
      </c>
      <c r="M17" s="75">
        <f>LOOKUP(2,1/(('0608 4度C'!$A:$A="新豐4線")*('0608 4度C'!$T:$T&lt;&gt;"")),'0608 4度C'!$T:$T)</f>
        <v>0.69236111111111098</v>
      </c>
    </row>
    <row r="18" spans="2:13" ht="17.25" customHeight="1">
      <c r="B18" s="551" t="s">
        <v>116</v>
      </c>
      <c r="C18" s="79" t="s">
        <v>117</v>
      </c>
      <c r="D18" s="80">
        <f>SUMIFS('0608 4度C'!$Y:$Y,'0608 4度C'!$A:$A,"新豐6線",'0608 4度C'!$B:$B,"平均")</f>
        <v>0</v>
      </c>
      <c r="E18" s="81">
        <f>SUMIFS('0608 4度C'!$Y:$Y,'0608 4度C'!$A:$A,"新豐2線",'0608 4度C'!$B:$B,"平均")</f>
        <v>0</v>
      </c>
      <c r="F18" s="81">
        <f>SUMIFS('0608 4度C'!$Y:$Y,'0608 4度C'!$A:$A,"新豐5線",'0608 4度C'!$B:$B,"平均")</f>
        <v>0</v>
      </c>
      <c r="G18" s="81">
        <f>SUMIFS('0608 4度C'!$Y:$Y,'0608 4度C'!$A:$A,"新豐7線",'0608 4度C'!$B:$B,"平均")</f>
        <v>0</v>
      </c>
      <c r="H18" s="81">
        <f>SUMIFS('0608 4度C'!$Y:$Y,'0608 4度C'!$A:$A,"新豐3線",'0608 4度C'!$B:$B,"平均")</f>
        <v>0</v>
      </c>
      <c r="I18" s="81">
        <f>SUMIFS('0608 4度C'!$Y:$Y,'0608 4度C'!$A:$A,"新豐1線",'0608 4度C'!$B:$B,"平均")</f>
        <v>0</v>
      </c>
      <c r="J18" s="82">
        <f>SUMIFS('0608 4度C'!$Y:$Y,'0608 4度C'!$A:$A,"新豐10線",'0608 4度C'!$B:$B,"平均")</f>
        <v>0</v>
      </c>
      <c r="K18" s="83">
        <f>SUMIFS('0608 4度C'!$Y:$Y,'0608 4度C'!$A:$A,"新豐8線",'0608 4度C'!$B:$B,"平均")</f>
        <v>0</v>
      </c>
      <c r="L18" s="81">
        <f>SUMIFS('0608 4度C'!$Y:$Y,'0608 4度C'!$A:$A,"新豐9線",'0608 4度C'!$B:$B,"平均")</f>
        <v>0</v>
      </c>
      <c r="M18" s="82">
        <f>SUMIFS('0608 4度C'!$Y:$Y,'0608 4度C'!$A:$A,"新豐4線",'0608 4度C'!$B:$B,"平均")</f>
        <v>0</v>
      </c>
    </row>
    <row r="19" spans="2:13" ht="17.25" customHeight="1">
      <c r="B19" s="552"/>
      <c r="C19" s="79" t="s">
        <v>764</v>
      </c>
      <c r="D19" s="80">
        <f>SUMIFS('0608 4度C'!$Z:$Z,'0608 4度C'!$A:$A,"新豐6線",'0608 4度C'!$B:$B,"平均")</f>
        <v>0</v>
      </c>
      <c r="E19" s="81">
        <f>SUMIFS('0608 4度C'!$Z:$Z,'0608 4度C'!$A:$A,"新豐2線",'0608 4度C'!$B:$B,"平均")</f>
        <v>0</v>
      </c>
      <c r="F19" s="81">
        <f>SUMIFS('0608 4度C'!$Z:$Z,'0608 4度C'!$A:$A,"新豐5線",'0608 4度C'!$B:$B,"平均")</f>
        <v>0</v>
      </c>
      <c r="G19" s="81">
        <f>SUMIFS('0608 4度C'!$Z:$Z,'0608 4度C'!$A:$A,"新豐7線",'0608 4度C'!$B:$B,"平均")</f>
        <v>0</v>
      </c>
      <c r="H19" s="81">
        <f>SUMIFS('0608 4度C'!$Z:$Z,'0608 4度C'!$A:$A,"新豐3線",'0608 4度C'!$B:$B,"平均")</f>
        <v>0</v>
      </c>
      <c r="I19" s="81">
        <f>SUMIFS('0608 4度C'!$Z:$Z,'0608 4度C'!$A:$A,"新豐1線",'0608 4度C'!$B:$B,"平均")</f>
        <v>0</v>
      </c>
      <c r="J19" s="82">
        <f>SUMIFS('0608 4度C'!$Z:$Z,'0608 4度C'!$A:$A,"新豐10線",'0608 4度C'!$B:$B,"平均")</f>
        <v>0</v>
      </c>
      <c r="K19" s="83">
        <f>SUMIFS('0608 4度C'!$Z:$Z,'0608 4度C'!$A:$A,"新豐8線",'0608 4度C'!$B:$B,"平均")</f>
        <v>0</v>
      </c>
      <c r="L19" s="81">
        <f>SUMIFS('0608 4度C'!$Z:$Z,'0608 4度C'!$A:$A,"新豐9線",'0608 4度C'!$B:$B,"平均")</f>
        <v>0</v>
      </c>
      <c r="M19" s="82">
        <f>SUMIFS('0608 4度C'!$Z:$Z,'0608 4度C'!$A:$A,"新豐4線",'0608 4度C'!$B:$B,"平均")</f>
        <v>0</v>
      </c>
    </row>
    <row r="20" spans="2:13" ht="17.25" customHeight="1">
      <c r="B20" s="551" t="s">
        <v>765</v>
      </c>
      <c r="C20" s="79" t="s">
        <v>766</v>
      </c>
      <c r="D20" s="80">
        <f>SUMIFS('0608 4度C'!$AC:$AC,'0608 4度C'!$A:$A,"新豐6線",'0608 4度C'!$B:$B,"平均")</f>
        <v>4</v>
      </c>
      <c r="E20" s="81">
        <f>SUMIFS('0608 4度C'!$AC:$AC,'0608 4度C'!$A:$A,"新豐2線",'0608 4度C'!$B:$B,"平均")</f>
        <v>5</v>
      </c>
      <c r="F20" s="81">
        <f>SUMIFS('0608 4度C'!$AC:$AC,'0608 4度C'!$A:$A,"新豐5線",'0608 4度C'!$B:$B,"平均")</f>
        <v>7</v>
      </c>
      <c r="G20" s="81">
        <f>SUMIFS('0608 4度C'!$AC:$AC,'0608 4度C'!$A:$A,"新豐7線",'0608 4度C'!$B:$B,"平均")</f>
        <v>8</v>
      </c>
      <c r="H20" s="81">
        <f>SUMIFS('0608 4度C'!$AC:$AC,'0608 4度C'!$A:$A,"新豐3線",'0608 4度C'!$B:$B,"平均")</f>
        <v>4</v>
      </c>
      <c r="I20" s="81">
        <f>SUMIFS('0608 4度C'!$AC:$AC,'0608 4度C'!$A:$A,"新豐1線",'0608 4度C'!$B:$B,"平均")</f>
        <v>8</v>
      </c>
      <c r="J20" s="82">
        <f>SUMIFS('0608 4度C'!$AC:$AC,'0608 4度C'!$A:$A,"新豐10線",'0608 4度C'!$B:$B,"平均")</f>
        <v>5</v>
      </c>
      <c r="K20" s="83">
        <f>SUMIFS('0608 4度C'!$AC:$AC,'0608 4度C'!$A:$A,"新豐8線",'0608 4度C'!$B:$B,"平均")</f>
        <v>7</v>
      </c>
      <c r="L20" s="81">
        <f>SUMIFS('0608 4度C'!$AC:$AC,'0608 4度C'!$A:$A,"新豐9線",'0608 4度C'!$B:$B,"平均")</f>
        <v>8</v>
      </c>
      <c r="M20" s="82">
        <f>SUMIFS('0608 4度C'!$AC:$AC,'0608 4度C'!$A:$A,"新豐4線",'0608 4度C'!$B:$B,"平均")</f>
        <v>7</v>
      </c>
    </row>
    <row r="21" spans="2:13" ht="17.25" customHeight="1">
      <c r="B21" s="552"/>
      <c r="C21" s="79" t="s">
        <v>767</v>
      </c>
      <c r="D21" s="80">
        <f>SUMIFS('0608 4度C'!$AD:$AD,'0608 4度C'!$A:$A,"新豐6線",'0608 4度C'!$B:$B,"平均")</f>
        <v>0</v>
      </c>
      <c r="E21" s="81">
        <f>SUMIFS('0608 4度C'!$AD:$AD,'0608 4度C'!$A:$A,"新豐2線",'0608 4度C'!$B:$B,"平均")</f>
        <v>0</v>
      </c>
      <c r="F21" s="81">
        <f>SUMIFS('0608 4度C'!$AD:$AD,'0608 4度C'!$A:$A,"新豐5線",'0608 4度C'!$B:$B,"平均")</f>
        <v>0</v>
      </c>
      <c r="G21" s="81">
        <f>SUMIFS('0608 4度C'!$AD:$AD,'0608 4度C'!$A:$A,"新豐7線",'0608 4度C'!$B:$B,"平均")</f>
        <v>0</v>
      </c>
      <c r="H21" s="81">
        <f>SUMIFS('0608 4度C'!$AD:$AD,'0608 4度C'!$A:$A,"新豐3線",'0608 4度C'!$B:$B,"平均")</f>
        <v>0</v>
      </c>
      <c r="I21" s="81">
        <f>SUMIFS('0608 4度C'!$AD:$AD,'0608 4度C'!$A:$A,"新豐1線",'0608 4度C'!$B:$B,"平均")</f>
        <v>0</v>
      </c>
      <c r="J21" s="82">
        <f>SUMIFS('0608 4度C'!$AD:$AD,'0608 4度C'!$A:$A,"新豐10線",'0608 4度C'!$B:$B,"平均")</f>
        <v>0</v>
      </c>
      <c r="K21" s="83">
        <f>SUMIFS('0608 4度C'!$AD:$AD,'0608 4度C'!$A:$A,"新豐8線",'0608 4度C'!$B:$B,"平均")</f>
        <v>0</v>
      </c>
      <c r="L21" s="81">
        <f>SUMIFS('0608 4度C'!$AD:$AD,'0608 4度C'!$A:$A,"新豐9線",'0608 4度C'!$B:$B,"平均")</f>
        <v>0</v>
      </c>
      <c r="M21" s="82">
        <f>SUMIFS('0608 4度C'!$AD:$AD,'0608 4度C'!$A:$A,"新豐4線",'0608 4度C'!$B:$B,"平均")</f>
        <v>0</v>
      </c>
    </row>
    <row r="22" spans="2:13" ht="17.25" customHeight="1">
      <c r="B22" s="553" t="s">
        <v>768</v>
      </c>
      <c r="C22" s="554"/>
      <c r="D22" s="84">
        <f>SUMIFS('0608 4度C'!$I:$I,'0608 4度C'!$A:$A,"新豐6線",'0608 4度C'!$B:$B,"平均")</f>
        <v>15.5</v>
      </c>
      <c r="E22" s="85">
        <f>SUMIFS('0608 4度C'!$I:$I,'0608 4度C'!$A:$A,"新豐2線",'0608 4度C'!$B:$B,"平均")</f>
        <v>17</v>
      </c>
      <c r="F22" s="85">
        <f>SUMIFS('0608 4度C'!$I:$I,'0608 4度C'!$A:$A,"新豐5線",'0608 4度C'!$B:$B,"平均")</f>
        <v>18.714285714285715</v>
      </c>
      <c r="G22" s="85">
        <f>SUMIFS('0608 4度C'!$I:$I,'0608 4度C'!$A:$A,"新豐7線",'0608 4度C'!$B:$B,"平均")</f>
        <v>14.75</v>
      </c>
      <c r="H22" s="85">
        <f>SUMIFS('0608 4度C'!$I:$I,'0608 4度C'!$A:$A,"新豐3線",'0608 4度C'!$B:$B,"平均")</f>
        <v>10.75</v>
      </c>
      <c r="I22" s="85">
        <f>SUMIFS('0608 4度C'!$I:$I,'0608 4度C'!$A:$A,"新豐1線",'0608 4度C'!$B:$B,"平均")</f>
        <v>17.625</v>
      </c>
      <c r="J22" s="86">
        <f>SUMIFS('0608 4度C'!$I:$I,'0608 4度C'!$A:$A,"新豐10線",'0608 4度C'!$B:$B,"平均")</f>
        <v>9.4</v>
      </c>
      <c r="K22" s="84">
        <f>SUMIFS('0608 4度C'!$I:$I,'0608 4度C'!$A:$A,"新豐8線",'0608 4度C'!$B:$B,"平均")</f>
        <v>17.428571428571427</v>
      </c>
      <c r="L22" s="85">
        <f>SUMIFS('0608 4度C'!$I:$I,'0608 4度C'!$A:$A,"新豐9線",'0608 4度C'!$B:$B,"平均")</f>
        <v>17.625</v>
      </c>
      <c r="M22" s="86">
        <f>SUMIFS('0608 4度C'!$I:$I,'0608 4度C'!$A:$A,"新豐4線",'0608 4度C'!$B:$B,"平均")</f>
        <v>15.714285714285714</v>
      </c>
    </row>
    <row r="23" spans="2:13" ht="17.25" customHeight="1">
      <c r="B23" s="553" t="s">
        <v>769</v>
      </c>
      <c r="C23" s="554"/>
      <c r="D23" s="87" t="s">
        <v>71</v>
      </c>
      <c r="E23" s="88" t="s">
        <v>72</v>
      </c>
      <c r="F23" s="88" t="s">
        <v>770</v>
      </c>
      <c r="G23" s="88" t="s">
        <v>770</v>
      </c>
      <c r="H23" s="88" t="s">
        <v>73</v>
      </c>
      <c r="I23" s="88" t="s">
        <v>71</v>
      </c>
      <c r="J23" s="89" t="s">
        <v>73</v>
      </c>
      <c r="K23" s="87" t="s">
        <v>771</v>
      </c>
      <c r="L23" s="88" t="s">
        <v>772</v>
      </c>
      <c r="M23" s="89" t="s">
        <v>772</v>
      </c>
    </row>
    <row r="24" spans="2:13" ht="17.25" customHeight="1">
      <c r="B24" s="553" t="s">
        <v>773</v>
      </c>
      <c r="C24" s="554"/>
      <c r="D24" s="87"/>
      <c r="E24" s="88"/>
      <c r="F24" s="88" t="s">
        <v>774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775</v>
      </c>
      <c r="C25" s="556"/>
      <c r="D25" s="90"/>
      <c r="E25" s="91" t="s">
        <v>776</v>
      </c>
      <c r="F25" s="549" t="s">
        <v>777</v>
      </c>
      <c r="G25" s="550"/>
      <c r="H25" s="91" t="s">
        <v>778</v>
      </c>
      <c r="I25" s="91" t="s">
        <v>779</v>
      </c>
      <c r="J25" s="92" t="s">
        <v>778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topLeftCell="L1" zoomScale="80" zoomScaleNormal="80" workbookViewId="0">
      <pane ySplit="4" topLeftCell="A5" activePane="bottomLeft" state="frozen"/>
      <selection sqref="A1:XFD1048576"/>
      <selection pane="bottomLeft" activeCell="X11" sqref="X11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780</v>
      </c>
      <c r="B1" s="1"/>
      <c r="C1" s="2" t="s">
        <v>781</v>
      </c>
      <c r="D1" s="3">
        <f>SUM(F5:F77)</f>
        <v>208194</v>
      </c>
      <c r="E1" s="207" t="s">
        <v>782</v>
      </c>
      <c r="F1" s="1">
        <f>SUM(G5:G77)</f>
        <v>7304533.9900000012</v>
      </c>
      <c r="G1" s="1" t="s">
        <v>783</v>
      </c>
      <c r="H1" s="4">
        <f>L9+L15+L54+L63+L23+L69+L40+L49+L32+L77</f>
        <v>154.50714285714287</v>
      </c>
      <c r="I1" s="663" t="s">
        <v>784</v>
      </c>
      <c r="J1" s="663"/>
      <c r="K1" s="663"/>
      <c r="L1" s="663" t="s">
        <v>785</v>
      </c>
      <c r="M1" s="663"/>
      <c r="N1" s="663"/>
      <c r="O1" s="663" t="s">
        <v>786</v>
      </c>
      <c r="P1" s="663"/>
      <c r="Q1" s="663"/>
      <c r="R1" s="663"/>
      <c r="S1" s="663" t="s">
        <v>787</v>
      </c>
      <c r="T1" s="663"/>
      <c r="U1" s="663"/>
      <c r="V1" s="663"/>
      <c r="W1" s="663"/>
      <c r="X1" s="663"/>
      <c r="Y1" s="5" t="s">
        <v>788</v>
      </c>
      <c r="Z1" s="6" t="s">
        <v>789</v>
      </c>
      <c r="AA1" s="664" t="s">
        <v>790</v>
      </c>
      <c r="AB1" s="664"/>
      <c r="AC1" s="94" t="s">
        <v>788</v>
      </c>
      <c r="AD1" s="6" t="s">
        <v>791</v>
      </c>
      <c r="AE1" s="663" t="s">
        <v>792</v>
      </c>
      <c r="AF1" s="665"/>
      <c r="AG1" s="665"/>
    </row>
    <row r="2" spans="1:33" ht="26.25" customHeight="1">
      <c r="A2" s="27">
        <v>46181</v>
      </c>
      <c r="B2" s="28" t="s">
        <v>75</v>
      </c>
      <c r="C2" s="2" t="s">
        <v>793</v>
      </c>
      <c r="D2" s="8">
        <f>AVERAGE(N9,N15,N54,N63,N23,N69,N32,N40,N49,N77)</f>
        <v>147.41511829295027</v>
      </c>
      <c r="E2" s="9" t="s">
        <v>0</v>
      </c>
      <c r="F2" s="10">
        <f>F1/D1</f>
        <v>35.085228152588456</v>
      </c>
      <c r="G2" s="1" t="s">
        <v>794</v>
      </c>
      <c r="H2" s="204">
        <f>COUNT(H5:H77)</f>
        <v>13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SUM(Y9+Y15+Y23+Y32+Y40+Y49+Y54+Y63+Y69+Y77)</f>
        <v>0</v>
      </c>
      <c r="Z2" s="11">
        <f>SUM(Z9+Z15+Z23+Z32+Z40+Z49+Z54+Z63+Z69+Z77)</f>
        <v>0</v>
      </c>
      <c r="AA2" s="664"/>
      <c r="AB2" s="664"/>
      <c r="AC2" s="95">
        <v>63</v>
      </c>
      <c r="AD2" s="11">
        <f>SUM(AD9+AD15+AD23+AD32+AD40+AD49+AD54+AD63+AD69+AD77)</f>
        <v>0</v>
      </c>
      <c r="AE2" s="665"/>
      <c r="AF2" s="665"/>
      <c r="AG2" s="665"/>
    </row>
    <row r="3" spans="1:33" ht="40.5" customHeight="1">
      <c r="A3" s="617" t="s">
        <v>795</v>
      </c>
      <c r="B3" s="617" t="s">
        <v>796</v>
      </c>
      <c r="C3" s="617" t="s">
        <v>797</v>
      </c>
      <c r="D3" s="617"/>
      <c r="E3" s="661" t="s">
        <v>798</v>
      </c>
      <c r="F3" s="617" t="s">
        <v>799</v>
      </c>
      <c r="G3" s="661" t="s">
        <v>800</v>
      </c>
      <c r="H3" s="654" t="s">
        <v>801</v>
      </c>
      <c r="I3" s="652" t="s">
        <v>802</v>
      </c>
      <c r="J3" s="649" t="s">
        <v>803</v>
      </c>
      <c r="K3" s="659" t="s">
        <v>804</v>
      </c>
      <c r="L3" s="652" t="s">
        <v>802</v>
      </c>
      <c r="M3" s="649" t="s">
        <v>803</v>
      </c>
      <c r="N3" s="659" t="s">
        <v>804</v>
      </c>
      <c r="O3" s="652" t="s">
        <v>802</v>
      </c>
      <c r="P3" s="659" t="s">
        <v>804</v>
      </c>
      <c r="Q3" s="650" t="s">
        <v>805</v>
      </c>
      <c r="R3" s="630" t="s">
        <v>806</v>
      </c>
      <c r="S3" s="660" t="s">
        <v>1</v>
      </c>
      <c r="T3" s="660"/>
      <c r="U3" s="654" t="s">
        <v>2</v>
      </c>
      <c r="V3" s="654" t="s">
        <v>807</v>
      </c>
      <c r="W3" s="617" t="s">
        <v>808</v>
      </c>
      <c r="X3" s="617"/>
      <c r="Y3" s="655" t="s">
        <v>809</v>
      </c>
      <c r="Z3" s="614"/>
      <c r="AA3" s="656" t="s">
        <v>810</v>
      </c>
      <c r="AB3" s="657"/>
      <c r="AC3" s="655" t="s">
        <v>811</v>
      </c>
      <c r="AD3" s="614"/>
      <c r="AE3" s="649" t="s">
        <v>812</v>
      </c>
      <c r="AF3" s="650" t="s">
        <v>813</v>
      </c>
      <c r="AG3" s="630" t="s">
        <v>814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210" t="s">
        <v>3</v>
      </c>
      <c r="T4" s="210" t="s">
        <v>4</v>
      </c>
      <c r="U4" s="654"/>
      <c r="V4" s="654"/>
      <c r="W4" s="207" t="s">
        <v>815</v>
      </c>
      <c r="X4" s="207" t="s">
        <v>816</v>
      </c>
      <c r="Y4" s="209" t="s">
        <v>817</v>
      </c>
      <c r="Z4" s="209" t="s">
        <v>818</v>
      </c>
      <c r="AA4" s="658"/>
      <c r="AB4" s="657"/>
      <c r="AC4" s="209" t="s">
        <v>819</v>
      </c>
      <c r="AD4" s="209" t="s">
        <v>820</v>
      </c>
      <c r="AE4" s="649"/>
      <c r="AF4" s="650"/>
      <c r="AG4" s="630"/>
    </row>
    <row r="5" spans="1:33">
      <c r="A5" s="651" t="s">
        <v>821</v>
      </c>
      <c r="B5" s="29" t="s">
        <v>15</v>
      </c>
      <c r="C5" s="653" t="s">
        <v>17</v>
      </c>
      <c r="D5" s="653"/>
      <c r="E5" s="29">
        <v>50.67</v>
      </c>
      <c r="F5" s="210">
        <v>1630</v>
      </c>
      <c r="G5" s="207">
        <f t="shared" ref="G5:G8" si="0">E5*F5</f>
        <v>82592.100000000006</v>
      </c>
      <c r="H5" s="33" t="s">
        <v>57</v>
      </c>
      <c r="I5" s="205">
        <v>15</v>
      </c>
      <c r="J5" s="31">
        <v>2000</v>
      </c>
      <c r="K5" s="12">
        <f t="shared" ref="K5:K68" si="1">J5/I5</f>
        <v>133.33333333333334</v>
      </c>
      <c r="L5" s="205">
        <v>15</v>
      </c>
      <c r="M5" s="13">
        <f t="shared" ref="M5:M8" si="2">F5/V5*60</f>
        <v>1917.6470588235302</v>
      </c>
      <c r="N5" s="12">
        <f t="shared" ref="N5:N68" si="3">M5/L5</f>
        <v>127.84313725490202</v>
      </c>
      <c r="O5" s="14">
        <f t="shared" ref="O5:O68" si="4">L5-I5</f>
        <v>0</v>
      </c>
      <c r="P5" s="15">
        <f t="shared" ref="P5:P68" si="5">N5-K5</f>
        <v>-5.4901960784313246</v>
      </c>
      <c r="Q5" s="206">
        <f t="shared" ref="Q5:Q68" si="6">N5/K5</f>
        <v>0.95882352941176507</v>
      </c>
      <c r="R5" s="615">
        <f>Q9</f>
        <v>0.96044263472285163</v>
      </c>
      <c r="S5" s="34">
        <v>0.70833333333333337</v>
      </c>
      <c r="T5" s="34">
        <v>0.74375000000000002</v>
      </c>
      <c r="U5" s="207"/>
      <c r="V5" s="208">
        <f t="shared" ref="V5:V8" si="7">(T5-S5)*24*60</f>
        <v>50.999999999999979</v>
      </c>
      <c r="W5" s="16"/>
      <c r="X5" s="17"/>
      <c r="Y5" s="17"/>
      <c r="Z5" s="17"/>
      <c r="AA5" s="617"/>
      <c r="AB5" s="617"/>
      <c r="AC5" s="35">
        <v>4</v>
      </c>
      <c r="AD5" s="18"/>
      <c r="AE5" s="14">
        <f t="shared" ref="AE5:AE62" si="8">M5-J5</f>
        <v>-82.352941176469812</v>
      </c>
      <c r="AF5" s="206">
        <f t="shared" ref="AF5:AF68" si="9">M5/J5</f>
        <v>0.95882352941176507</v>
      </c>
      <c r="AG5" s="615">
        <f>AF9</f>
        <v>0.96044263472285163</v>
      </c>
    </row>
    <row r="6" spans="1:33">
      <c r="A6" s="652" t="s">
        <v>821</v>
      </c>
      <c r="B6" s="29" t="s">
        <v>15</v>
      </c>
      <c r="C6" s="653" t="s">
        <v>26</v>
      </c>
      <c r="D6" s="653"/>
      <c r="E6" s="29">
        <v>50.92</v>
      </c>
      <c r="F6" s="210">
        <v>2732</v>
      </c>
      <c r="G6" s="207">
        <f t="shared" si="0"/>
        <v>139113.44</v>
      </c>
      <c r="H6" s="33" t="s">
        <v>57</v>
      </c>
      <c r="I6" s="205">
        <v>15</v>
      </c>
      <c r="J6" s="31">
        <v>2000</v>
      </c>
      <c r="K6" s="12">
        <f t="shared" si="1"/>
        <v>133.33333333333334</v>
      </c>
      <c r="L6" s="205">
        <v>15</v>
      </c>
      <c r="M6" s="13">
        <f t="shared" si="2"/>
        <v>1906.0465116279067</v>
      </c>
      <c r="N6" s="12">
        <f t="shared" si="3"/>
        <v>127.06976744186045</v>
      </c>
      <c r="O6" s="14">
        <f t="shared" si="4"/>
        <v>0</v>
      </c>
      <c r="P6" s="15">
        <f t="shared" si="5"/>
        <v>-6.2635658914728936</v>
      </c>
      <c r="Q6" s="206">
        <f t="shared" si="6"/>
        <v>0.95302325581395331</v>
      </c>
      <c r="R6" s="615"/>
      <c r="S6" s="34">
        <v>0.74722222222222223</v>
      </c>
      <c r="T6" s="34">
        <v>0.80694444444444446</v>
      </c>
      <c r="U6" s="207">
        <f t="shared" ref="U6:U8" si="10">IF(S6=TIME(17,0,0),"",(S6-T5)*24*60)</f>
        <v>4.9999999999999822</v>
      </c>
      <c r="V6" s="208">
        <f t="shared" si="7"/>
        <v>86.000000000000014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-93.953488372093261</v>
      </c>
      <c r="AF6" s="206">
        <f t="shared" si="9"/>
        <v>0.95302325581395342</v>
      </c>
      <c r="AG6" s="615"/>
    </row>
    <row r="7" spans="1:33">
      <c r="A7" s="652" t="s">
        <v>821</v>
      </c>
      <c r="B7" s="29" t="s">
        <v>15</v>
      </c>
      <c r="C7" s="644" t="s">
        <v>31</v>
      </c>
      <c r="D7" s="645"/>
      <c r="E7" s="29">
        <v>50.98</v>
      </c>
      <c r="F7" s="210">
        <v>1000</v>
      </c>
      <c r="G7" s="207">
        <f t="shared" si="0"/>
        <v>50980</v>
      </c>
      <c r="H7" s="33">
        <v>2</v>
      </c>
      <c r="I7" s="205">
        <v>16</v>
      </c>
      <c r="J7" s="31">
        <v>2000</v>
      </c>
      <c r="K7" s="12">
        <f t="shared" si="1"/>
        <v>125</v>
      </c>
      <c r="L7" s="205">
        <v>16</v>
      </c>
      <c r="M7" s="13">
        <f t="shared" si="2"/>
        <v>1935.483870967739</v>
      </c>
      <c r="N7" s="12">
        <f t="shared" si="3"/>
        <v>120.96774193548369</v>
      </c>
      <c r="O7" s="14">
        <f t="shared" si="4"/>
        <v>0</v>
      </c>
      <c r="P7" s="15">
        <f t="shared" si="5"/>
        <v>-4.0322580645163129</v>
      </c>
      <c r="Q7" s="206">
        <f t="shared" si="6"/>
        <v>0.96774193548386944</v>
      </c>
      <c r="R7" s="615"/>
      <c r="S7" s="34">
        <v>0.8125</v>
      </c>
      <c r="T7" s="34">
        <v>0.83402777777777781</v>
      </c>
      <c r="U7" s="207">
        <f t="shared" si="10"/>
        <v>7.9999999999999716</v>
      </c>
      <c r="V7" s="208">
        <f t="shared" si="7"/>
        <v>31.00000000000005</v>
      </c>
      <c r="W7" s="16">
        <f>T7</f>
        <v>0.83402777777777781</v>
      </c>
      <c r="X7" s="16">
        <f>S8</f>
        <v>0.87430555555555556</v>
      </c>
      <c r="Y7" s="19"/>
      <c r="Z7" s="19"/>
      <c r="AA7" s="624"/>
      <c r="AB7" s="625"/>
      <c r="AC7" s="35"/>
      <c r="AD7" s="20"/>
      <c r="AE7" s="14">
        <f t="shared" si="8"/>
        <v>-64.516129032261006</v>
      </c>
      <c r="AF7" s="206">
        <f t="shared" si="9"/>
        <v>0.96774193548386944</v>
      </c>
      <c r="AG7" s="615"/>
    </row>
    <row r="8" spans="1:33">
      <c r="A8" s="652" t="s">
        <v>821</v>
      </c>
      <c r="B8" s="29" t="s">
        <v>15</v>
      </c>
      <c r="C8" s="644" t="s">
        <v>31</v>
      </c>
      <c r="D8" s="645"/>
      <c r="E8" s="29">
        <v>50.98</v>
      </c>
      <c r="F8" s="210">
        <v>1764</v>
      </c>
      <c r="G8" s="207">
        <f t="shared" si="0"/>
        <v>89928.72</v>
      </c>
      <c r="H8" s="33" t="s">
        <v>57</v>
      </c>
      <c r="I8" s="205">
        <v>16</v>
      </c>
      <c r="J8" s="31">
        <v>2000</v>
      </c>
      <c r="K8" s="12">
        <f t="shared" si="1"/>
        <v>125</v>
      </c>
      <c r="L8" s="205">
        <v>16</v>
      </c>
      <c r="M8" s="13">
        <f t="shared" si="2"/>
        <v>1924.3636363636374</v>
      </c>
      <c r="N8" s="12">
        <f t="shared" si="3"/>
        <v>120.27272727272734</v>
      </c>
      <c r="O8" s="14">
        <f t="shared" si="4"/>
        <v>0</v>
      </c>
      <c r="P8" s="15">
        <f t="shared" si="5"/>
        <v>-4.7272727272726627</v>
      </c>
      <c r="Q8" s="206">
        <f t="shared" si="6"/>
        <v>0.96218181818181869</v>
      </c>
      <c r="R8" s="615"/>
      <c r="S8" s="34">
        <v>0.87430555555555556</v>
      </c>
      <c r="T8" s="34">
        <v>0.91249999999999998</v>
      </c>
      <c r="U8" s="207">
        <f t="shared" si="10"/>
        <v>57.999999999999957</v>
      </c>
      <c r="V8" s="208">
        <f t="shared" si="7"/>
        <v>54.999999999999964</v>
      </c>
      <c r="W8" s="21"/>
      <c r="X8" s="21"/>
      <c r="Y8" s="22"/>
      <c r="Z8" s="22"/>
      <c r="AA8" s="624"/>
      <c r="AB8" s="625"/>
      <c r="AC8" s="35"/>
      <c r="AD8" s="20"/>
      <c r="AE8" s="14">
        <f t="shared" si="8"/>
        <v>-75.636363636362603</v>
      </c>
      <c r="AF8" s="206">
        <f t="shared" si="9"/>
        <v>0.96218181818181869</v>
      </c>
      <c r="AG8" s="615"/>
    </row>
    <row r="9" spans="1:33">
      <c r="A9" s="652" t="s">
        <v>821</v>
      </c>
      <c r="B9" s="29" t="s">
        <v>822</v>
      </c>
      <c r="C9" s="618"/>
      <c r="D9" s="618"/>
      <c r="E9" s="213"/>
      <c r="F9" s="30"/>
      <c r="G9" s="12"/>
      <c r="H9" s="210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1920.8852694457032</v>
      </c>
      <c r="N9" s="12">
        <f t="shared" si="3"/>
        <v>123.92808189972278</v>
      </c>
      <c r="O9" s="14">
        <f t="shared" si="4"/>
        <v>0</v>
      </c>
      <c r="P9" s="15">
        <f t="shared" si="5"/>
        <v>-5.1041761647933441</v>
      </c>
      <c r="Q9" s="206">
        <f t="shared" si="6"/>
        <v>0.96044263472285163</v>
      </c>
      <c r="R9" s="615"/>
      <c r="S9" s="34"/>
      <c r="T9" s="34"/>
      <c r="U9" s="207"/>
      <c r="V9" s="208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-79.114730554296784</v>
      </c>
      <c r="AF9" s="206">
        <f t="shared" si="9"/>
        <v>0.96044263472285163</v>
      </c>
      <c r="AG9" s="615"/>
    </row>
    <row r="10" spans="1:33" ht="15.75" customHeight="1">
      <c r="A10" s="648" t="s">
        <v>823</v>
      </c>
      <c r="B10" s="29" t="s">
        <v>19</v>
      </c>
      <c r="C10" s="644" t="s">
        <v>20</v>
      </c>
      <c r="D10" s="645"/>
      <c r="E10" s="29">
        <v>39.619999999999997</v>
      </c>
      <c r="F10" s="210">
        <v>5863</v>
      </c>
      <c r="G10" s="207">
        <f t="shared" ref="G10:G14" si="11">E10*F10</f>
        <v>232292.06</v>
      </c>
      <c r="H10" s="33" t="s">
        <v>57</v>
      </c>
      <c r="I10" s="205">
        <v>19</v>
      </c>
      <c r="J10" s="31">
        <v>1500</v>
      </c>
      <c r="K10" s="12">
        <f t="shared" si="1"/>
        <v>78.94736842105263</v>
      </c>
      <c r="L10" s="205">
        <v>19</v>
      </c>
      <c r="M10" s="13">
        <f t="shared" ref="M10:M14" si="12">F10/V10*60</f>
        <v>1430.0000000000002</v>
      </c>
      <c r="N10" s="12">
        <f t="shared" si="3"/>
        <v>75.26315789473685</v>
      </c>
      <c r="O10" s="14">
        <f t="shared" si="4"/>
        <v>0</v>
      </c>
      <c r="P10" s="15">
        <f t="shared" si="5"/>
        <v>-3.6842105263157805</v>
      </c>
      <c r="Q10" s="206">
        <f t="shared" si="6"/>
        <v>0.95333333333333348</v>
      </c>
      <c r="R10" s="615">
        <f>Q15</f>
        <v>0.95510353288206551</v>
      </c>
      <c r="S10" s="34">
        <v>8.3333333333333329E-2</v>
      </c>
      <c r="T10" s="34">
        <v>0.25416666666666665</v>
      </c>
      <c r="U10" s="207"/>
      <c r="V10" s="208">
        <f t="shared" ref="V10:V14" si="13">(T10-S10)*24*60</f>
        <v>245.99999999999997</v>
      </c>
      <c r="W10" s="16">
        <f>T10</f>
        <v>0.25416666666666665</v>
      </c>
      <c r="X10" s="16">
        <f>S11</f>
        <v>0.27361111111111108</v>
      </c>
      <c r="Y10" s="16"/>
      <c r="Z10" s="16"/>
      <c r="AA10" s="617"/>
      <c r="AB10" s="617"/>
      <c r="AC10" s="35">
        <v>5</v>
      </c>
      <c r="AD10" s="18"/>
      <c r="AE10" s="14">
        <f t="shared" si="8"/>
        <v>-69.999999999999773</v>
      </c>
      <c r="AF10" s="206">
        <f t="shared" si="9"/>
        <v>0.95333333333333348</v>
      </c>
      <c r="AG10" s="615">
        <f>AF15</f>
        <v>0.95510353288206551</v>
      </c>
    </row>
    <row r="11" spans="1:33" ht="15.75" customHeight="1">
      <c r="A11" s="648" t="s">
        <v>823</v>
      </c>
      <c r="B11" s="29" t="s">
        <v>19</v>
      </c>
      <c r="C11" s="644" t="s">
        <v>83</v>
      </c>
      <c r="D11" s="645"/>
      <c r="E11" s="29">
        <v>39.46</v>
      </c>
      <c r="F11" s="210">
        <v>3400</v>
      </c>
      <c r="G11" s="207">
        <f t="shared" si="11"/>
        <v>134164</v>
      </c>
      <c r="H11" s="33">
        <v>2</v>
      </c>
      <c r="I11" s="205">
        <v>16</v>
      </c>
      <c r="J11" s="31">
        <v>1500</v>
      </c>
      <c r="K11" s="12">
        <f t="shared" si="1"/>
        <v>93.75</v>
      </c>
      <c r="L11" s="205">
        <v>16</v>
      </c>
      <c r="M11" s="13">
        <f t="shared" si="12"/>
        <v>1436.6197183098595</v>
      </c>
      <c r="N11" s="12">
        <f t="shared" si="3"/>
        <v>89.788732394366221</v>
      </c>
      <c r="O11" s="14">
        <f t="shared" si="4"/>
        <v>0</v>
      </c>
      <c r="P11" s="15">
        <f t="shared" si="5"/>
        <v>-3.961267605633779</v>
      </c>
      <c r="Q11" s="206">
        <f t="shared" si="6"/>
        <v>0.95774647887323971</v>
      </c>
      <c r="R11" s="615"/>
      <c r="S11" s="34">
        <v>0.27361111111111108</v>
      </c>
      <c r="T11" s="34">
        <v>0.37222222222222218</v>
      </c>
      <c r="U11" s="207">
        <f t="shared" ref="U11:U14" si="14">IF(S11=TIME(17,0,0),"",(S11-T10)*24*60)</f>
        <v>27.999999999999979</v>
      </c>
      <c r="V11" s="208">
        <f t="shared" si="13"/>
        <v>141.99999999999997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-63.380281690140464</v>
      </c>
      <c r="AF11" s="206">
        <f t="shared" si="9"/>
        <v>0.95774647887323971</v>
      </c>
      <c r="AG11" s="615"/>
    </row>
    <row r="12" spans="1:33" ht="15.75" customHeight="1">
      <c r="A12" s="648" t="s">
        <v>7</v>
      </c>
      <c r="B12" s="29" t="s">
        <v>19</v>
      </c>
      <c r="C12" s="644" t="s">
        <v>21</v>
      </c>
      <c r="D12" s="645"/>
      <c r="E12" s="29">
        <v>39.799999999999997</v>
      </c>
      <c r="F12" s="210">
        <v>3600</v>
      </c>
      <c r="G12" s="207">
        <f t="shared" si="11"/>
        <v>143280</v>
      </c>
      <c r="H12" s="33">
        <v>2</v>
      </c>
      <c r="I12" s="205">
        <v>17</v>
      </c>
      <c r="J12" s="31">
        <v>1500</v>
      </c>
      <c r="K12" s="12">
        <f t="shared" si="1"/>
        <v>88.235294117647058</v>
      </c>
      <c r="L12" s="205">
        <v>17</v>
      </c>
      <c r="M12" s="13">
        <f t="shared" si="12"/>
        <v>1430.46357615894</v>
      </c>
      <c r="N12" s="12">
        <f t="shared" si="3"/>
        <v>84.144916244643525</v>
      </c>
      <c r="O12" s="14">
        <f t="shared" si="4"/>
        <v>0</v>
      </c>
      <c r="P12" s="15">
        <f t="shared" si="5"/>
        <v>-4.0903778730035327</v>
      </c>
      <c r="Q12" s="206">
        <f t="shared" si="6"/>
        <v>0.95364238410595992</v>
      </c>
      <c r="R12" s="615"/>
      <c r="S12" s="34">
        <v>0.37638888888888883</v>
      </c>
      <c r="T12" s="34">
        <v>0.48124999999999996</v>
      </c>
      <c r="U12" s="207">
        <f t="shared" si="14"/>
        <v>5.9999999999999787</v>
      </c>
      <c r="V12" s="208">
        <f t="shared" si="13"/>
        <v>151.00000000000003</v>
      </c>
      <c r="W12" s="16">
        <f>T12</f>
        <v>0.48124999999999996</v>
      </c>
      <c r="X12" s="16">
        <f>S13</f>
        <v>0.52222222222222214</v>
      </c>
      <c r="Y12" s="16"/>
      <c r="Z12" s="16"/>
      <c r="AA12" s="617"/>
      <c r="AB12" s="617"/>
      <c r="AC12" s="35"/>
      <c r="AD12" s="18"/>
      <c r="AE12" s="14">
        <f t="shared" si="8"/>
        <v>-69.536423841060014</v>
      </c>
      <c r="AF12" s="206">
        <f t="shared" si="9"/>
        <v>0.95364238410596003</v>
      </c>
      <c r="AG12" s="615"/>
    </row>
    <row r="13" spans="1:33" ht="15.75" customHeight="1">
      <c r="A13" s="648" t="s">
        <v>7</v>
      </c>
      <c r="B13" s="29" t="s">
        <v>19</v>
      </c>
      <c r="C13" s="644" t="s">
        <v>21</v>
      </c>
      <c r="D13" s="645"/>
      <c r="E13" s="29">
        <v>39.799999999999997</v>
      </c>
      <c r="F13" s="210">
        <v>4651</v>
      </c>
      <c r="G13" s="207">
        <f t="shared" si="11"/>
        <v>185109.8</v>
      </c>
      <c r="H13" s="33" t="s">
        <v>57</v>
      </c>
      <c r="I13" s="205">
        <v>17</v>
      </c>
      <c r="J13" s="31">
        <v>1500</v>
      </c>
      <c r="K13" s="12">
        <f t="shared" si="1"/>
        <v>88.235294117647058</v>
      </c>
      <c r="L13" s="205">
        <v>17</v>
      </c>
      <c r="M13" s="13">
        <f t="shared" si="12"/>
        <v>1431.0769230769235</v>
      </c>
      <c r="N13" s="12">
        <f t="shared" si="3"/>
        <v>84.18099547511315</v>
      </c>
      <c r="O13" s="14">
        <f t="shared" si="4"/>
        <v>0</v>
      </c>
      <c r="P13" s="15">
        <f t="shared" si="5"/>
        <v>-4.054298642533908</v>
      </c>
      <c r="Q13" s="206">
        <f t="shared" si="6"/>
        <v>0.95405128205128242</v>
      </c>
      <c r="R13" s="615"/>
      <c r="S13" s="34">
        <v>0.52222222222222214</v>
      </c>
      <c r="T13" s="34">
        <v>0.65763888888888877</v>
      </c>
      <c r="U13" s="207">
        <f t="shared" si="14"/>
        <v>58.99999999999995</v>
      </c>
      <c r="V13" s="208">
        <f t="shared" si="13"/>
        <v>194.99999999999994</v>
      </c>
      <c r="W13" s="16"/>
      <c r="X13" s="16"/>
      <c r="Y13" s="16"/>
      <c r="Z13" s="16"/>
      <c r="AA13" s="624"/>
      <c r="AB13" s="625"/>
      <c r="AC13" s="35"/>
      <c r="AD13" s="18"/>
      <c r="AE13" s="14">
        <f t="shared" si="8"/>
        <v>-68.923076923076451</v>
      </c>
      <c r="AF13" s="206">
        <f t="shared" si="9"/>
        <v>0.95405128205128231</v>
      </c>
      <c r="AG13" s="615"/>
    </row>
    <row r="14" spans="1:33" ht="15.75" customHeight="1">
      <c r="A14" s="648" t="s">
        <v>7</v>
      </c>
      <c r="B14" s="29" t="s">
        <v>19</v>
      </c>
      <c r="C14" s="644" t="s">
        <v>83</v>
      </c>
      <c r="D14" s="645"/>
      <c r="E14" s="29">
        <v>39.46</v>
      </c>
      <c r="F14" s="210">
        <v>2057</v>
      </c>
      <c r="G14" s="207">
        <f t="shared" si="11"/>
        <v>81169.22</v>
      </c>
      <c r="H14" s="33" t="s">
        <v>57</v>
      </c>
      <c r="I14" s="205">
        <v>16</v>
      </c>
      <c r="J14" s="31">
        <v>1500</v>
      </c>
      <c r="K14" s="12">
        <f t="shared" si="1"/>
        <v>93.75</v>
      </c>
      <c r="L14" s="205">
        <v>16</v>
      </c>
      <c r="M14" s="13">
        <f t="shared" si="12"/>
        <v>1435.1162790697672</v>
      </c>
      <c r="N14" s="12">
        <f t="shared" si="3"/>
        <v>89.694767441860449</v>
      </c>
      <c r="O14" s="14">
        <f t="shared" si="4"/>
        <v>0</v>
      </c>
      <c r="P14" s="15">
        <f t="shared" si="5"/>
        <v>-4.0552325581395507</v>
      </c>
      <c r="Q14" s="206">
        <f t="shared" si="6"/>
        <v>0.95674418604651146</v>
      </c>
      <c r="R14" s="615"/>
      <c r="S14" s="34">
        <v>0.66249999999999987</v>
      </c>
      <c r="T14" s="34">
        <v>0.7222222222222221</v>
      </c>
      <c r="U14" s="207">
        <f t="shared" si="14"/>
        <v>6.9999999999999751</v>
      </c>
      <c r="V14" s="208">
        <f t="shared" si="13"/>
        <v>86.000000000000014</v>
      </c>
      <c r="W14" s="16"/>
      <c r="X14" s="16"/>
      <c r="Y14" s="19"/>
      <c r="Z14" s="19"/>
      <c r="AA14" s="624"/>
      <c r="AB14" s="625"/>
      <c r="AC14" s="35"/>
      <c r="AD14" s="18"/>
      <c r="AE14" s="14">
        <f t="shared" si="8"/>
        <v>-64.883720930232812</v>
      </c>
      <c r="AF14" s="206">
        <f t="shared" si="9"/>
        <v>0.95674418604651146</v>
      </c>
      <c r="AG14" s="615"/>
    </row>
    <row r="15" spans="1:33" ht="16.5" customHeight="1">
      <c r="A15" s="648" t="s">
        <v>7</v>
      </c>
      <c r="B15" s="29" t="s">
        <v>6</v>
      </c>
      <c r="C15" s="618"/>
      <c r="D15" s="618"/>
      <c r="E15" s="213"/>
      <c r="F15" s="31"/>
      <c r="G15" s="13"/>
      <c r="H15" s="210"/>
      <c r="I15" s="23">
        <v>17</v>
      </c>
      <c r="J15" s="31">
        <v>1500</v>
      </c>
      <c r="K15" s="12">
        <f t="shared" si="1"/>
        <v>88.235294117647058</v>
      </c>
      <c r="L15" s="23">
        <v>17</v>
      </c>
      <c r="M15" s="13">
        <f>AVERAGE(M10:M14)</f>
        <v>1432.6552993230982</v>
      </c>
      <c r="N15" s="12">
        <f t="shared" si="3"/>
        <v>84.273841136652834</v>
      </c>
      <c r="O15" s="14">
        <f t="shared" si="4"/>
        <v>0</v>
      </c>
      <c r="P15" s="15">
        <f t="shared" si="5"/>
        <v>-3.961452980994224</v>
      </c>
      <c r="Q15" s="206">
        <f t="shared" si="6"/>
        <v>0.95510353288206551</v>
      </c>
      <c r="R15" s="615"/>
      <c r="S15" s="34"/>
      <c r="T15" s="34"/>
      <c r="U15" s="12"/>
      <c r="V15" s="208"/>
      <c r="W15" s="12"/>
      <c r="X15" s="12"/>
      <c r="Y15" s="24">
        <f>SUM(Y10:Y14)</f>
        <v>0</v>
      </c>
      <c r="Z15" s="24">
        <f>SUM(Z10:Z14)</f>
        <v>0</v>
      </c>
      <c r="AA15" s="614"/>
      <c r="AB15" s="614"/>
      <c r="AC15" s="24">
        <v>5</v>
      </c>
      <c r="AD15" s="24">
        <f>SUM(AD10:AD14)</f>
        <v>0</v>
      </c>
      <c r="AE15" s="14">
        <f t="shared" si="8"/>
        <v>-67.344700676901766</v>
      </c>
      <c r="AF15" s="206">
        <f t="shared" si="9"/>
        <v>0.95510353288206551</v>
      </c>
      <c r="AG15" s="615"/>
    </row>
    <row r="16" spans="1:33" ht="16.5" customHeight="1">
      <c r="A16" s="646" t="s">
        <v>8</v>
      </c>
      <c r="B16" s="210" t="s">
        <v>22</v>
      </c>
      <c r="C16" s="640" t="s">
        <v>23</v>
      </c>
      <c r="D16" s="640"/>
      <c r="E16" s="29">
        <v>41</v>
      </c>
      <c r="F16" s="210">
        <v>2367</v>
      </c>
      <c r="G16" s="207">
        <f t="shared" ref="G16:G22" si="15">E16*F16</f>
        <v>97047</v>
      </c>
      <c r="H16" s="33" t="s">
        <v>57</v>
      </c>
      <c r="I16" s="205">
        <v>26</v>
      </c>
      <c r="J16" s="31">
        <v>1500</v>
      </c>
      <c r="K16" s="12">
        <f t="shared" si="1"/>
        <v>57.692307692307693</v>
      </c>
      <c r="L16" s="205">
        <v>26</v>
      </c>
      <c r="M16" s="13">
        <f t="shared" ref="M16:M22" si="16">F16/V16*60</f>
        <v>1434.5454545454545</v>
      </c>
      <c r="N16" s="12">
        <f t="shared" si="3"/>
        <v>55.174825174825173</v>
      </c>
      <c r="O16" s="14">
        <f t="shared" si="4"/>
        <v>0</v>
      </c>
      <c r="P16" s="15">
        <f t="shared" si="5"/>
        <v>-2.5174825174825202</v>
      </c>
      <c r="Q16" s="206">
        <f t="shared" si="6"/>
        <v>0.9563636363636363</v>
      </c>
      <c r="R16" s="615">
        <f>Q23</f>
        <v>0.95527481940858205</v>
      </c>
      <c r="S16" s="34">
        <v>8.3333333333333329E-2</v>
      </c>
      <c r="T16" s="34">
        <v>0.15208333333333332</v>
      </c>
      <c r="U16" s="207"/>
      <c r="V16" s="208">
        <f t="shared" ref="V16:V22" si="17">(T16-S16)*24*60</f>
        <v>99</v>
      </c>
      <c r="W16" s="16">
        <f>T16</f>
        <v>0.15208333333333332</v>
      </c>
      <c r="X16" s="16">
        <f>S17</f>
        <v>0.17222222222222222</v>
      </c>
      <c r="Y16" s="21"/>
      <c r="Z16" s="21"/>
      <c r="AA16" s="617"/>
      <c r="AB16" s="617"/>
      <c r="AC16" s="35">
        <v>7</v>
      </c>
      <c r="AD16" s="18"/>
      <c r="AE16" s="14">
        <f t="shared" si="8"/>
        <v>-65.454545454545496</v>
      </c>
      <c r="AF16" s="206">
        <f t="shared" si="9"/>
        <v>0.9563636363636363</v>
      </c>
      <c r="AG16" s="615">
        <f>AF23</f>
        <v>0.95527481940858217</v>
      </c>
    </row>
    <row r="17" spans="1:33" ht="16.5" customHeight="1">
      <c r="A17" s="647" t="s">
        <v>824</v>
      </c>
      <c r="B17" s="210" t="s">
        <v>22</v>
      </c>
      <c r="C17" s="640" t="s">
        <v>87</v>
      </c>
      <c r="D17" s="640"/>
      <c r="E17" s="29">
        <v>38.619999999999997</v>
      </c>
      <c r="F17" s="210">
        <v>2813</v>
      </c>
      <c r="G17" s="207">
        <f t="shared" si="15"/>
        <v>108638.06</v>
      </c>
      <c r="H17" s="33" t="s">
        <v>57</v>
      </c>
      <c r="I17" s="205">
        <v>24</v>
      </c>
      <c r="J17" s="31">
        <v>1500</v>
      </c>
      <c r="K17" s="12">
        <f t="shared" si="1"/>
        <v>62.5</v>
      </c>
      <c r="L17" s="205">
        <v>24</v>
      </c>
      <c r="M17" s="13">
        <f t="shared" si="16"/>
        <v>1430.3389830508477</v>
      </c>
      <c r="N17" s="12">
        <f t="shared" si="3"/>
        <v>59.597457627118651</v>
      </c>
      <c r="O17" s="14">
        <f t="shared" si="4"/>
        <v>0</v>
      </c>
      <c r="P17" s="15">
        <f t="shared" si="5"/>
        <v>-2.9025423728813493</v>
      </c>
      <c r="Q17" s="206">
        <f t="shared" si="6"/>
        <v>0.95355932203389837</v>
      </c>
      <c r="R17" s="615"/>
      <c r="S17" s="34">
        <v>0.17222222222222222</v>
      </c>
      <c r="T17" s="34">
        <v>0.25416666666666665</v>
      </c>
      <c r="U17" s="207">
        <f t="shared" ref="U17:U22" si="18">IF(S17=TIME(17,0,0),"",(S17-T16)*24*60)</f>
        <v>29.000000000000018</v>
      </c>
      <c r="V17" s="208">
        <f t="shared" si="17"/>
        <v>117.99999999999999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-69.661016949152327</v>
      </c>
      <c r="AF17" s="206">
        <f t="shared" si="9"/>
        <v>0.95355932203389848</v>
      </c>
      <c r="AG17" s="615"/>
    </row>
    <row r="18" spans="1:33" ht="16.5" customHeight="1">
      <c r="A18" s="647" t="s">
        <v>824</v>
      </c>
      <c r="B18" s="210" t="s">
        <v>15</v>
      </c>
      <c r="C18" s="640" t="s">
        <v>86</v>
      </c>
      <c r="D18" s="640"/>
      <c r="E18" s="29">
        <v>37.03</v>
      </c>
      <c r="F18" s="210">
        <v>4083</v>
      </c>
      <c r="G18" s="207">
        <f t="shared" si="15"/>
        <v>151193.49</v>
      </c>
      <c r="H18" s="33" t="s">
        <v>57</v>
      </c>
      <c r="I18" s="205">
        <v>13</v>
      </c>
      <c r="J18" s="31">
        <v>1500</v>
      </c>
      <c r="K18" s="12">
        <f t="shared" si="1"/>
        <v>115.38461538461539</v>
      </c>
      <c r="L18" s="205">
        <v>13</v>
      </c>
      <c r="M18" s="13">
        <f t="shared" si="16"/>
        <v>1432.6315789473683</v>
      </c>
      <c r="N18" s="12">
        <f t="shared" si="3"/>
        <v>110.20242914979757</v>
      </c>
      <c r="O18" s="14">
        <f t="shared" si="4"/>
        <v>0</v>
      </c>
      <c r="P18" s="15">
        <f t="shared" si="5"/>
        <v>-5.18218623481782</v>
      </c>
      <c r="Q18" s="206">
        <f t="shared" si="6"/>
        <v>0.95508771929824554</v>
      </c>
      <c r="R18" s="615"/>
      <c r="S18" s="34">
        <v>0.25763888888888886</v>
      </c>
      <c r="T18" s="34">
        <v>0.37638888888888888</v>
      </c>
      <c r="U18" s="207">
        <f t="shared" si="18"/>
        <v>4.9999999999999822</v>
      </c>
      <c r="V18" s="208">
        <f t="shared" si="17"/>
        <v>171.00000000000003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-67.368421052631675</v>
      </c>
      <c r="AF18" s="206">
        <f t="shared" si="9"/>
        <v>0.95508771929824554</v>
      </c>
      <c r="AG18" s="615"/>
    </row>
    <row r="19" spans="1:33" ht="16.5" customHeight="1">
      <c r="A19" s="647" t="s">
        <v>824</v>
      </c>
      <c r="B19" s="210" t="s">
        <v>19</v>
      </c>
      <c r="C19" s="640" t="s">
        <v>267</v>
      </c>
      <c r="D19" s="640"/>
      <c r="E19" s="29">
        <v>39.520000000000003</v>
      </c>
      <c r="F19" s="210">
        <v>4091</v>
      </c>
      <c r="G19" s="207">
        <f t="shared" si="15"/>
        <v>161676.32</v>
      </c>
      <c r="H19" s="33" t="s">
        <v>57</v>
      </c>
      <c r="I19" s="205">
        <v>19</v>
      </c>
      <c r="J19" s="31">
        <v>1500</v>
      </c>
      <c r="K19" s="12">
        <f t="shared" si="1"/>
        <v>78.94736842105263</v>
      </c>
      <c r="L19" s="205">
        <v>19</v>
      </c>
      <c r="M19" s="13">
        <f t="shared" si="16"/>
        <v>1427.0930232558137</v>
      </c>
      <c r="N19" s="12">
        <f t="shared" si="3"/>
        <v>75.11015911872704</v>
      </c>
      <c r="O19" s="14">
        <f t="shared" si="4"/>
        <v>0</v>
      </c>
      <c r="P19" s="15">
        <f t="shared" si="5"/>
        <v>-3.83720930232559</v>
      </c>
      <c r="Q19" s="206">
        <f t="shared" si="6"/>
        <v>0.95139534883720922</v>
      </c>
      <c r="R19" s="615"/>
      <c r="S19" s="34">
        <v>0.37986111111111109</v>
      </c>
      <c r="T19" s="34">
        <v>0.49930555555555556</v>
      </c>
      <c r="U19" s="207">
        <f t="shared" si="18"/>
        <v>4.9999999999999822</v>
      </c>
      <c r="V19" s="208">
        <f t="shared" si="17"/>
        <v>172.00000000000003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-72.906976744186295</v>
      </c>
      <c r="AF19" s="206">
        <f t="shared" si="9"/>
        <v>0.95139534883720911</v>
      </c>
      <c r="AG19" s="615"/>
    </row>
    <row r="20" spans="1:33" ht="16.5" customHeight="1">
      <c r="A20" s="647" t="s">
        <v>824</v>
      </c>
      <c r="B20" s="210" t="s">
        <v>15</v>
      </c>
      <c r="C20" s="640" t="s">
        <v>25</v>
      </c>
      <c r="D20" s="640"/>
      <c r="E20" s="29">
        <v>53.68</v>
      </c>
      <c r="F20" s="210">
        <v>1317</v>
      </c>
      <c r="G20" s="207">
        <f t="shared" si="15"/>
        <v>70696.56</v>
      </c>
      <c r="H20" s="33" t="s">
        <v>57</v>
      </c>
      <c r="I20" s="205">
        <v>16</v>
      </c>
      <c r="J20" s="31">
        <v>1500</v>
      </c>
      <c r="K20" s="12">
        <f t="shared" si="1"/>
        <v>93.75</v>
      </c>
      <c r="L20" s="205">
        <v>16</v>
      </c>
      <c r="M20" s="13">
        <f t="shared" si="16"/>
        <v>1436.7272727272737</v>
      </c>
      <c r="N20" s="12">
        <f t="shared" si="3"/>
        <v>89.795454545454604</v>
      </c>
      <c r="O20" s="14">
        <f t="shared" si="4"/>
        <v>0</v>
      </c>
      <c r="P20" s="15">
        <f t="shared" si="5"/>
        <v>-3.9545454545453964</v>
      </c>
      <c r="Q20" s="206">
        <f t="shared" si="6"/>
        <v>0.95781818181818246</v>
      </c>
      <c r="R20" s="615"/>
      <c r="S20" s="34">
        <v>0.70833333333333337</v>
      </c>
      <c r="T20" s="34">
        <v>0.74652777777777779</v>
      </c>
      <c r="U20" s="207" t="str">
        <f t="shared" si="18"/>
        <v/>
      </c>
      <c r="V20" s="208">
        <f t="shared" si="17"/>
        <v>54.999999999999964</v>
      </c>
      <c r="W20" s="16"/>
      <c r="X20" s="16"/>
      <c r="Y20" s="16"/>
      <c r="Z20" s="16"/>
      <c r="AA20" s="617"/>
      <c r="AB20" s="617"/>
      <c r="AC20" s="35"/>
      <c r="AD20" s="18"/>
      <c r="AE20" s="14">
        <f t="shared" si="8"/>
        <v>-63.272727272726343</v>
      </c>
      <c r="AF20" s="206">
        <f t="shared" si="9"/>
        <v>0.95781818181818246</v>
      </c>
      <c r="AG20" s="615"/>
    </row>
    <row r="21" spans="1:33" ht="16.5" customHeight="1">
      <c r="A21" s="647" t="s">
        <v>825</v>
      </c>
      <c r="B21" s="210" t="s">
        <v>15</v>
      </c>
      <c r="C21" s="217" t="s">
        <v>18</v>
      </c>
      <c r="D21" s="218"/>
      <c r="E21" s="29">
        <v>52.86</v>
      </c>
      <c r="F21" s="210">
        <v>1465</v>
      </c>
      <c r="G21" s="207">
        <f t="shared" si="15"/>
        <v>77439.899999999994</v>
      </c>
      <c r="H21" s="33" t="s">
        <v>57</v>
      </c>
      <c r="I21" s="205">
        <v>16</v>
      </c>
      <c r="J21" s="31">
        <v>2000</v>
      </c>
      <c r="K21" s="12">
        <f t="shared" si="1"/>
        <v>125</v>
      </c>
      <c r="L21" s="205">
        <v>16</v>
      </c>
      <c r="M21" s="13">
        <f t="shared" si="16"/>
        <v>1910.8695652173915</v>
      </c>
      <c r="N21" s="12">
        <f t="shared" si="3"/>
        <v>119.42934782608697</v>
      </c>
      <c r="O21" s="14">
        <f t="shared" si="4"/>
        <v>0</v>
      </c>
      <c r="P21" s="15">
        <f t="shared" si="5"/>
        <v>-5.5706521739130324</v>
      </c>
      <c r="Q21" s="206">
        <f t="shared" si="6"/>
        <v>0.95543478260869574</v>
      </c>
      <c r="R21" s="615"/>
      <c r="S21" s="34">
        <v>0.75</v>
      </c>
      <c r="T21" s="34">
        <v>0.78194444444444444</v>
      </c>
      <c r="U21" s="207">
        <f t="shared" si="18"/>
        <v>4.9999999999999822</v>
      </c>
      <c r="V21" s="208">
        <f t="shared" si="17"/>
        <v>46</v>
      </c>
      <c r="W21" s="16"/>
      <c r="X21" s="16"/>
      <c r="Y21" s="19"/>
      <c r="Z21" s="19"/>
      <c r="AA21" s="211"/>
      <c r="AB21" s="212"/>
      <c r="AC21" s="35"/>
      <c r="AD21" s="18"/>
      <c r="AE21" s="14">
        <f t="shared" si="8"/>
        <v>-89.130434782608518</v>
      </c>
      <c r="AF21" s="206">
        <f t="shared" si="9"/>
        <v>0.95543478260869574</v>
      </c>
      <c r="AG21" s="615"/>
    </row>
    <row r="22" spans="1:33" ht="16.5" customHeight="1">
      <c r="A22" s="647" t="s">
        <v>825</v>
      </c>
      <c r="B22" s="210" t="s">
        <v>15</v>
      </c>
      <c r="C22" s="217" t="s">
        <v>16</v>
      </c>
      <c r="D22" s="218"/>
      <c r="E22" s="29">
        <v>50.67</v>
      </c>
      <c r="F22" s="210">
        <v>1754</v>
      </c>
      <c r="G22" s="207">
        <f t="shared" si="15"/>
        <v>88875.180000000008</v>
      </c>
      <c r="H22" s="33" t="s">
        <v>57</v>
      </c>
      <c r="I22" s="205">
        <v>17</v>
      </c>
      <c r="J22" s="31">
        <v>2000</v>
      </c>
      <c r="K22" s="12">
        <f t="shared" si="1"/>
        <v>117.64705882352941</v>
      </c>
      <c r="L22" s="205">
        <v>17</v>
      </c>
      <c r="M22" s="13">
        <f t="shared" si="16"/>
        <v>1913.4545454545466</v>
      </c>
      <c r="N22" s="12">
        <f t="shared" si="3"/>
        <v>112.55614973262038</v>
      </c>
      <c r="O22" s="14">
        <f t="shared" si="4"/>
        <v>0</v>
      </c>
      <c r="P22" s="15">
        <f t="shared" si="5"/>
        <v>-5.0909090909090224</v>
      </c>
      <c r="Q22" s="206">
        <f t="shared" si="6"/>
        <v>0.95672727272727331</v>
      </c>
      <c r="R22" s="615"/>
      <c r="S22" s="34">
        <v>0.78611111111111109</v>
      </c>
      <c r="T22" s="34">
        <v>0.82430555555555551</v>
      </c>
      <c r="U22" s="207">
        <f t="shared" si="18"/>
        <v>5.9999999999999787</v>
      </c>
      <c r="V22" s="208">
        <f t="shared" si="17"/>
        <v>54.999999999999964</v>
      </c>
      <c r="W22" s="16"/>
      <c r="X22" s="16"/>
      <c r="Y22" s="19"/>
      <c r="Z22" s="19"/>
      <c r="AA22" s="211"/>
      <c r="AB22" s="212"/>
      <c r="AC22" s="35"/>
      <c r="AD22" s="18"/>
      <c r="AE22" s="14">
        <f t="shared" si="8"/>
        <v>-86.545454545453367</v>
      </c>
      <c r="AF22" s="206">
        <f t="shared" si="9"/>
        <v>0.95672727272727331</v>
      </c>
      <c r="AG22" s="615"/>
    </row>
    <row r="23" spans="1:33" ht="16.5" customHeight="1">
      <c r="A23" s="647" t="s">
        <v>824</v>
      </c>
      <c r="B23" s="29" t="s">
        <v>826</v>
      </c>
      <c r="C23" s="618"/>
      <c r="D23" s="618"/>
      <c r="E23" s="213"/>
      <c r="F23" s="30"/>
      <c r="G23" s="12"/>
      <c r="H23" s="210"/>
      <c r="I23" s="23">
        <v>18.714285714285715</v>
      </c>
      <c r="J23" s="31">
        <v>1642.8571428571429</v>
      </c>
      <c r="K23" s="12">
        <f t="shared" si="1"/>
        <v>87.786259541984734</v>
      </c>
      <c r="L23" s="23">
        <v>18.714285714285715</v>
      </c>
      <c r="M23" s="13">
        <f>AVERAGE(M16:M22)</f>
        <v>1569.3800604569565</v>
      </c>
      <c r="N23" s="12">
        <f t="shared" si="3"/>
        <v>83.860003230524384</v>
      </c>
      <c r="O23" s="14">
        <f t="shared" si="4"/>
        <v>0</v>
      </c>
      <c r="P23" s="15">
        <f t="shared" si="5"/>
        <v>-3.9262563114603495</v>
      </c>
      <c r="Q23" s="206">
        <f t="shared" si="6"/>
        <v>0.95527481940858205</v>
      </c>
      <c r="R23" s="615"/>
      <c r="S23" s="34"/>
      <c r="T23" s="34"/>
      <c r="U23" s="207"/>
      <c r="V23" s="208"/>
      <c r="W23" s="12"/>
      <c r="X23" s="12"/>
      <c r="Y23" s="24">
        <f>SUM(Y16:Y22)</f>
        <v>0</v>
      </c>
      <c r="Z23" s="24">
        <f>SUM(Z16:Z22)</f>
        <v>0</v>
      </c>
      <c r="AA23" s="614"/>
      <c r="AB23" s="614"/>
      <c r="AC23" s="24">
        <v>7</v>
      </c>
      <c r="AD23" s="24">
        <f>SUM(AD16:AD22)</f>
        <v>0</v>
      </c>
      <c r="AE23" s="14">
        <f t="shared" si="8"/>
        <v>-73.477082400186418</v>
      </c>
      <c r="AF23" s="206">
        <f t="shared" si="9"/>
        <v>0.95527481940858217</v>
      </c>
      <c r="AG23" s="615"/>
    </row>
    <row r="24" spans="1:33" ht="15.75" customHeight="1">
      <c r="A24" s="642" t="s">
        <v>9</v>
      </c>
      <c r="B24" s="29" t="s">
        <v>15</v>
      </c>
      <c r="C24" s="640" t="s">
        <v>24</v>
      </c>
      <c r="D24" s="640"/>
      <c r="E24" s="29">
        <v>54.09</v>
      </c>
      <c r="F24" s="210">
        <v>1839</v>
      </c>
      <c r="G24" s="207">
        <f t="shared" ref="G24:G31" si="19">E24*F24</f>
        <v>99471.510000000009</v>
      </c>
      <c r="H24" s="33" t="s">
        <v>57</v>
      </c>
      <c r="I24" s="205">
        <v>17</v>
      </c>
      <c r="J24" s="31">
        <v>1500</v>
      </c>
      <c r="K24" s="12">
        <f t="shared" si="1"/>
        <v>88.235294117647058</v>
      </c>
      <c r="L24" s="205">
        <v>17</v>
      </c>
      <c r="M24" s="13">
        <f t="shared" ref="M24:M31" si="20">F24/V24*60</f>
        <v>1432.987012987013</v>
      </c>
      <c r="N24" s="12">
        <f t="shared" si="3"/>
        <v>84.29335370511842</v>
      </c>
      <c r="O24" s="14">
        <f t="shared" si="4"/>
        <v>0</v>
      </c>
      <c r="P24" s="15">
        <f t="shared" si="5"/>
        <v>-3.9419404125286377</v>
      </c>
      <c r="Q24" s="206">
        <f t="shared" si="6"/>
        <v>0.95532467532467547</v>
      </c>
      <c r="R24" s="615">
        <f>Q32</f>
        <v>0.95885359830973926</v>
      </c>
      <c r="S24" s="34">
        <v>0.20833333333333334</v>
      </c>
      <c r="T24" s="34">
        <v>0.26180555555555557</v>
      </c>
      <c r="U24" s="207"/>
      <c r="V24" s="208">
        <f t="shared" ref="V24:V31" si="21">(T24-S24)*24*60</f>
        <v>77</v>
      </c>
      <c r="W24" s="21"/>
      <c r="X24" s="21"/>
      <c r="Y24" s="21"/>
      <c r="Z24" s="21"/>
      <c r="AA24" s="617"/>
      <c r="AB24" s="617"/>
      <c r="AC24" s="35">
        <v>8</v>
      </c>
      <c r="AD24" s="18"/>
      <c r="AE24" s="14">
        <f t="shared" si="8"/>
        <v>-67.012987012986969</v>
      </c>
      <c r="AF24" s="206">
        <f t="shared" si="9"/>
        <v>0.95532467532467535</v>
      </c>
      <c r="AG24" s="615">
        <f>AF32</f>
        <v>0.95885359830973937</v>
      </c>
    </row>
    <row r="25" spans="1:33" ht="15.75" customHeight="1">
      <c r="A25" s="643" t="s">
        <v>9</v>
      </c>
      <c r="B25" s="29" t="s">
        <v>15</v>
      </c>
      <c r="C25" s="640" t="s">
        <v>28</v>
      </c>
      <c r="D25" s="640"/>
      <c r="E25" s="29">
        <v>50.67</v>
      </c>
      <c r="F25" s="210">
        <v>2390</v>
      </c>
      <c r="G25" s="207">
        <f t="shared" si="19"/>
        <v>121101.3</v>
      </c>
      <c r="H25" s="33" t="s">
        <v>57</v>
      </c>
      <c r="I25" s="205">
        <v>17</v>
      </c>
      <c r="J25" s="31">
        <v>2000</v>
      </c>
      <c r="K25" s="12">
        <f t="shared" si="1"/>
        <v>117.64705882352941</v>
      </c>
      <c r="L25" s="205">
        <v>17</v>
      </c>
      <c r="M25" s="13">
        <f t="shared" si="20"/>
        <v>1912.0000000000007</v>
      </c>
      <c r="N25" s="12">
        <f t="shared" si="3"/>
        <v>112.47058823529416</v>
      </c>
      <c r="O25" s="14">
        <f t="shared" si="4"/>
        <v>0</v>
      </c>
      <c r="P25" s="15">
        <f t="shared" si="5"/>
        <v>-5.1764705882352473</v>
      </c>
      <c r="Q25" s="206">
        <f t="shared" si="6"/>
        <v>0.95600000000000041</v>
      </c>
      <c r="R25" s="615"/>
      <c r="S25" s="34">
        <v>0.26597222222222222</v>
      </c>
      <c r="T25" s="34">
        <v>0.31805555555555554</v>
      </c>
      <c r="U25" s="207">
        <f t="shared" ref="U25:U31" si="22">IF(S25=TIME(17,0,0),"",(S25-T24)*24*60)</f>
        <v>5.9999999999999787</v>
      </c>
      <c r="V25" s="208">
        <f t="shared" si="21"/>
        <v>74.999999999999972</v>
      </c>
      <c r="W25" s="16"/>
      <c r="X25" s="207"/>
      <c r="Y25" s="207"/>
      <c r="Z25" s="207"/>
      <c r="AA25" s="617"/>
      <c r="AB25" s="617"/>
      <c r="AC25" s="35"/>
      <c r="AD25" s="18"/>
      <c r="AE25" s="14">
        <f t="shared" si="8"/>
        <v>-87.999999999999318</v>
      </c>
      <c r="AF25" s="206">
        <f t="shared" si="9"/>
        <v>0.95600000000000029</v>
      </c>
      <c r="AG25" s="615"/>
    </row>
    <row r="26" spans="1:33" ht="15.75" customHeight="1">
      <c r="A26" s="643" t="s">
        <v>9</v>
      </c>
      <c r="B26" s="29" t="s">
        <v>15</v>
      </c>
      <c r="C26" s="640" t="s">
        <v>29</v>
      </c>
      <c r="D26" s="640"/>
      <c r="E26" s="29">
        <v>57.73</v>
      </c>
      <c r="F26" s="210">
        <v>2911</v>
      </c>
      <c r="G26" s="207">
        <f t="shared" si="19"/>
        <v>168052.03</v>
      </c>
      <c r="H26" s="33" t="s">
        <v>57</v>
      </c>
      <c r="I26" s="205">
        <v>14</v>
      </c>
      <c r="J26" s="31">
        <v>2000</v>
      </c>
      <c r="K26" s="12">
        <f t="shared" si="1"/>
        <v>142.85714285714286</v>
      </c>
      <c r="L26" s="205">
        <v>14</v>
      </c>
      <c r="M26" s="13">
        <f t="shared" si="20"/>
        <v>1919.3406593406594</v>
      </c>
      <c r="N26" s="12">
        <f t="shared" si="3"/>
        <v>137.09576138147568</v>
      </c>
      <c r="O26" s="14">
        <f t="shared" si="4"/>
        <v>0</v>
      </c>
      <c r="P26" s="15">
        <f t="shared" si="5"/>
        <v>-5.7613814756671786</v>
      </c>
      <c r="Q26" s="206">
        <f t="shared" si="6"/>
        <v>0.95967032967032972</v>
      </c>
      <c r="R26" s="615"/>
      <c r="S26" s="34">
        <v>0.32152777777777775</v>
      </c>
      <c r="T26" s="34">
        <v>0.38472222222222219</v>
      </c>
      <c r="U26" s="207">
        <f t="shared" si="22"/>
        <v>4.9999999999999822</v>
      </c>
      <c r="V26" s="208">
        <f t="shared" si="21"/>
        <v>91</v>
      </c>
      <c r="W26" s="16"/>
      <c r="X26" s="207"/>
      <c r="Y26" s="207"/>
      <c r="Z26" s="207"/>
      <c r="AA26" s="617"/>
      <c r="AB26" s="617"/>
      <c r="AC26" s="35"/>
      <c r="AD26" s="18"/>
      <c r="AE26" s="14">
        <f t="shared" si="8"/>
        <v>-80.659340659340614</v>
      </c>
      <c r="AF26" s="206">
        <f t="shared" si="9"/>
        <v>0.95967032967032972</v>
      </c>
      <c r="AG26" s="615"/>
    </row>
    <row r="27" spans="1:33" ht="15.75" customHeight="1">
      <c r="A27" s="643" t="s">
        <v>9</v>
      </c>
      <c r="B27" s="29" t="s">
        <v>15</v>
      </c>
      <c r="C27" s="640" t="s">
        <v>80</v>
      </c>
      <c r="D27" s="640"/>
      <c r="E27" s="29">
        <v>53.27</v>
      </c>
      <c r="F27" s="210">
        <v>2277</v>
      </c>
      <c r="G27" s="207">
        <f t="shared" si="19"/>
        <v>121295.79000000001</v>
      </c>
      <c r="H27" s="33" t="s">
        <v>57</v>
      </c>
      <c r="I27" s="205">
        <v>16</v>
      </c>
      <c r="J27" s="31">
        <v>2000</v>
      </c>
      <c r="K27" s="12">
        <f t="shared" si="1"/>
        <v>125</v>
      </c>
      <c r="L27" s="205">
        <v>16</v>
      </c>
      <c r="M27" s="13">
        <f t="shared" si="20"/>
        <v>1924.2253521126763</v>
      </c>
      <c r="N27" s="12">
        <f t="shared" si="3"/>
        <v>120.26408450704227</v>
      </c>
      <c r="O27" s="14">
        <f t="shared" si="4"/>
        <v>0</v>
      </c>
      <c r="P27" s="15">
        <f t="shared" si="5"/>
        <v>-4.7359154929577301</v>
      </c>
      <c r="Q27" s="206">
        <f t="shared" si="6"/>
        <v>0.96211267605633821</v>
      </c>
      <c r="R27" s="615"/>
      <c r="S27" s="34">
        <v>0.38888888888888884</v>
      </c>
      <c r="T27" s="34">
        <v>0.43819444444444439</v>
      </c>
      <c r="U27" s="207">
        <f t="shared" si="22"/>
        <v>5.9999999999999787</v>
      </c>
      <c r="V27" s="208">
        <f t="shared" si="21"/>
        <v>70.999999999999986</v>
      </c>
      <c r="W27" s="16"/>
      <c r="X27" s="207"/>
      <c r="Y27" s="207"/>
      <c r="Z27" s="207"/>
      <c r="AA27" s="617"/>
      <c r="AB27" s="617"/>
      <c r="AC27" s="35"/>
      <c r="AD27" s="18"/>
      <c r="AE27" s="14">
        <f t="shared" si="8"/>
        <v>-75.774647887323681</v>
      </c>
      <c r="AF27" s="206">
        <f t="shared" si="9"/>
        <v>0.96211267605633821</v>
      </c>
      <c r="AG27" s="615"/>
    </row>
    <row r="28" spans="1:33" ht="15.75" customHeight="1">
      <c r="A28" s="643" t="s">
        <v>9</v>
      </c>
      <c r="B28" s="29" t="s">
        <v>15</v>
      </c>
      <c r="C28" s="640" t="s">
        <v>30</v>
      </c>
      <c r="D28" s="640"/>
      <c r="E28" s="29">
        <v>50.49</v>
      </c>
      <c r="F28" s="210">
        <v>2188</v>
      </c>
      <c r="G28" s="207">
        <f t="shared" si="19"/>
        <v>110472.12000000001</v>
      </c>
      <c r="H28" s="33" t="s">
        <v>57</v>
      </c>
      <c r="I28" s="205">
        <v>15</v>
      </c>
      <c r="J28" s="31">
        <v>2000</v>
      </c>
      <c r="K28" s="12">
        <f t="shared" si="1"/>
        <v>133.33333333333334</v>
      </c>
      <c r="L28" s="205">
        <v>15</v>
      </c>
      <c r="M28" s="13">
        <f t="shared" si="20"/>
        <v>1902.6086956521719</v>
      </c>
      <c r="N28" s="12">
        <f t="shared" si="3"/>
        <v>126.84057971014479</v>
      </c>
      <c r="O28" s="14">
        <f t="shared" si="4"/>
        <v>0</v>
      </c>
      <c r="P28" s="15">
        <f t="shared" si="5"/>
        <v>-6.4927536231885483</v>
      </c>
      <c r="Q28" s="206">
        <f t="shared" si="6"/>
        <v>0.95130434782608586</v>
      </c>
      <c r="R28" s="615"/>
      <c r="S28" s="34">
        <v>0.70833333333333337</v>
      </c>
      <c r="T28" s="34">
        <v>0.75625000000000009</v>
      </c>
      <c r="U28" s="207" t="str">
        <f t="shared" si="22"/>
        <v/>
      </c>
      <c r="V28" s="208">
        <f t="shared" si="21"/>
        <v>69.000000000000071</v>
      </c>
      <c r="W28" s="16"/>
      <c r="X28" s="16"/>
      <c r="Y28" s="207"/>
      <c r="Z28" s="207"/>
      <c r="AA28" s="617"/>
      <c r="AB28" s="617"/>
      <c r="AC28" s="35"/>
      <c r="AD28" s="18"/>
      <c r="AE28" s="14">
        <f t="shared" si="8"/>
        <v>-97.391304347828054</v>
      </c>
      <c r="AF28" s="206">
        <f t="shared" si="9"/>
        <v>0.95130434782608597</v>
      </c>
      <c r="AG28" s="615"/>
    </row>
    <row r="29" spans="1:33" ht="15.75" customHeight="1">
      <c r="A29" s="643" t="s">
        <v>9</v>
      </c>
      <c r="B29" s="29" t="s">
        <v>15</v>
      </c>
      <c r="C29" s="640" t="s">
        <v>85</v>
      </c>
      <c r="D29" s="640"/>
      <c r="E29" s="29">
        <v>56.43</v>
      </c>
      <c r="F29" s="210">
        <v>2198</v>
      </c>
      <c r="G29" s="207">
        <f t="shared" si="19"/>
        <v>124033.14</v>
      </c>
      <c r="H29" s="33" t="s">
        <v>57</v>
      </c>
      <c r="I29" s="205">
        <v>13</v>
      </c>
      <c r="J29" s="31">
        <v>2000</v>
      </c>
      <c r="K29" s="12">
        <f t="shared" si="1"/>
        <v>153.84615384615384</v>
      </c>
      <c r="L29" s="205">
        <v>13</v>
      </c>
      <c r="M29" s="13">
        <f t="shared" si="20"/>
        <v>1911.3043478260893</v>
      </c>
      <c r="N29" s="12">
        <f t="shared" si="3"/>
        <v>147.02341137123764</v>
      </c>
      <c r="O29" s="14">
        <f t="shared" si="4"/>
        <v>0</v>
      </c>
      <c r="P29" s="15">
        <f t="shared" si="5"/>
        <v>-6.8227424749161969</v>
      </c>
      <c r="Q29" s="206">
        <f t="shared" si="6"/>
        <v>0.95565217391304469</v>
      </c>
      <c r="R29" s="615"/>
      <c r="S29" s="34">
        <v>0.76041666666666674</v>
      </c>
      <c r="T29" s="34">
        <v>0.80833333333333335</v>
      </c>
      <c r="U29" s="207">
        <f t="shared" si="22"/>
        <v>5.9999999999999787</v>
      </c>
      <c r="V29" s="208">
        <f t="shared" si="21"/>
        <v>68.999999999999915</v>
      </c>
      <c r="W29" s="16"/>
      <c r="X29" s="21"/>
      <c r="Y29" s="21"/>
      <c r="Z29" s="21"/>
      <c r="AA29" s="617"/>
      <c r="AB29" s="617"/>
      <c r="AC29" s="35"/>
      <c r="AD29" s="18"/>
      <c r="AE29" s="14">
        <f t="shared" si="8"/>
        <v>-88.69565217391073</v>
      </c>
      <c r="AF29" s="206">
        <f t="shared" si="9"/>
        <v>0.95565217391304469</v>
      </c>
      <c r="AG29" s="615"/>
    </row>
    <row r="30" spans="1:33" ht="15.75" customHeight="1">
      <c r="A30" s="643" t="s">
        <v>9</v>
      </c>
      <c r="B30" s="29" t="s">
        <v>15</v>
      </c>
      <c r="C30" s="666" t="s">
        <v>82</v>
      </c>
      <c r="D30" s="667"/>
      <c r="E30" s="29">
        <v>51.06</v>
      </c>
      <c r="F30" s="210">
        <v>1100</v>
      </c>
      <c r="G30" s="207">
        <f t="shared" si="19"/>
        <v>56166</v>
      </c>
      <c r="H30" s="33">
        <v>2</v>
      </c>
      <c r="I30" s="205">
        <v>13</v>
      </c>
      <c r="J30" s="31">
        <v>2000</v>
      </c>
      <c r="K30" s="12">
        <f t="shared" si="1"/>
        <v>153.84615384615384</v>
      </c>
      <c r="L30" s="205">
        <v>13</v>
      </c>
      <c r="M30" s="13">
        <f t="shared" si="20"/>
        <v>1941.1764705882326</v>
      </c>
      <c r="N30" s="12">
        <f t="shared" si="3"/>
        <v>149.32126696832557</v>
      </c>
      <c r="O30" s="14">
        <f t="shared" si="4"/>
        <v>0</v>
      </c>
      <c r="P30" s="15">
        <f t="shared" si="5"/>
        <v>-4.5248868778282656</v>
      </c>
      <c r="Q30" s="206">
        <f t="shared" si="6"/>
        <v>0.97058823529411631</v>
      </c>
      <c r="R30" s="615"/>
      <c r="S30" s="34">
        <v>0.8125</v>
      </c>
      <c r="T30" s="34">
        <v>0.83611111111111114</v>
      </c>
      <c r="U30" s="207">
        <f t="shared" si="22"/>
        <v>5.9999999999999787</v>
      </c>
      <c r="V30" s="208">
        <f t="shared" si="21"/>
        <v>34.000000000000043</v>
      </c>
      <c r="W30" s="16">
        <f>T30</f>
        <v>0.83611111111111114</v>
      </c>
      <c r="X30" s="16">
        <f>S31</f>
        <v>0.87430555555555556</v>
      </c>
      <c r="Y30" s="22"/>
      <c r="Z30" s="22"/>
      <c r="AA30" s="624"/>
      <c r="AB30" s="625"/>
      <c r="AC30" s="35"/>
      <c r="AD30" s="18"/>
      <c r="AE30" s="14">
        <f t="shared" si="8"/>
        <v>-58.823529411767367</v>
      </c>
      <c r="AF30" s="206">
        <f t="shared" si="9"/>
        <v>0.97058823529411631</v>
      </c>
      <c r="AG30" s="615"/>
    </row>
    <row r="31" spans="1:33" ht="15.75" customHeight="1">
      <c r="A31" s="643" t="s">
        <v>9</v>
      </c>
      <c r="B31" s="29" t="s">
        <v>15</v>
      </c>
      <c r="C31" s="217" t="s">
        <v>82</v>
      </c>
      <c r="D31" s="218"/>
      <c r="E31" s="29">
        <v>51.06</v>
      </c>
      <c r="F31" s="210">
        <v>2718</v>
      </c>
      <c r="G31" s="207">
        <f t="shared" si="19"/>
        <v>138781.08000000002</v>
      </c>
      <c r="H31" s="33" t="s">
        <v>57</v>
      </c>
      <c r="I31" s="205">
        <v>13</v>
      </c>
      <c r="J31" s="31">
        <v>2000</v>
      </c>
      <c r="K31" s="12">
        <f t="shared" si="1"/>
        <v>153.84615384615384</v>
      </c>
      <c r="L31" s="205">
        <v>13</v>
      </c>
      <c r="M31" s="13">
        <f t="shared" si="20"/>
        <v>1918.5882352941171</v>
      </c>
      <c r="N31" s="12">
        <f t="shared" si="3"/>
        <v>147.58371040723978</v>
      </c>
      <c r="O31" s="14">
        <f t="shared" si="4"/>
        <v>0</v>
      </c>
      <c r="P31" s="15">
        <f t="shared" si="5"/>
        <v>-6.2624434389140617</v>
      </c>
      <c r="Q31" s="206">
        <f t="shared" si="6"/>
        <v>0.95929411764705863</v>
      </c>
      <c r="R31" s="615"/>
      <c r="S31" s="34">
        <v>0.87430555555555556</v>
      </c>
      <c r="T31" s="34">
        <v>0.93333333333333335</v>
      </c>
      <c r="U31" s="207">
        <f t="shared" si="22"/>
        <v>54.999999999999964</v>
      </c>
      <c r="V31" s="208">
        <f t="shared" si="21"/>
        <v>85.000000000000014</v>
      </c>
      <c r="W31" s="16"/>
      <c r="X31" s="16"/>
      <c r="Y31" s="19"/>
      <c r="Z31" s="19"/>
      <c r="AA31" s="211"/>
      <c r="AB31" s="212"/>
      <c r="AC31" s="35"/>
      <c r="AD31" s="18"/>
      <c r="AE31" s="14">
        <f t="shared" si="8"/>
        <v>-81.411764705882888</v>
      </c>
      <c r="AF31" s="206">
        <f t="shared" si="9"/>
        <v>0.95929411764705852</v>
      </c>
      <c r="AG31" s="615"/>
    </row>
    <row r="32" spans="1:33" ht="15.75" customHeight="1">
      <c r="A32" s="643" t="s">
        <v>9</v>
      </c>
      <c r="B32" s="29" t="s">
        <v>6</v>
      </c>
      <c r="C32" s="618"/>
      <c r="D32" s="618"/>
      <c r="E32" s="213"/>
      <c r="F32" s="210"/>
      <c r="G32" s="207"/>
      <c r="H32" s="210"/>
      <c r="I32" s="23">
        <v>14.75</v>
      </c>
      <c r="J32" s="31">
        <v>1937.5</v>
      </c>
      <c r="K32" s="12">
        <f t="shared" si="1"/>
        <v>131.35593220338984</v>
      </c>
      <c r="L32" s="23">
        <v>14.75</v>
      </c>
      <c r="M32" s="13">
        <f>AVERAGE(M24:M31)</f>
        <v>1857.77884672512</v>
      </c>
      <c r="N32" s="12">
        <f t="shared" si="3"/>
        <v>125.95110825255051</v>
      </c>
      <c r="O32" s="14">
        <f t="shared" si="4"/>
        <v>0</v>
      </c>
      <c r="P32" s="15">
        <f t="shared" si="5"/>
        <v>-5.4048239508393294</v>
      </c>
      <c r="Q32" s="206">
        <f t="shared" si="6"/>
        <v>0.95885359830973926</v>
      </c>
      <c r="R32" s="615"/>
      <c r="S32" s="34"/>
      <c r="T32" s="34"/>
      <c r="U32" s="12"/>
      <c r="V32" s="208"/>
      <c r="W32" s="12"/>
      <c r="X32" s="12"/>
      <c r="Y32" s="24">
        <f>SUM(Y24:Y31)</f>
        <v>0</v>
      </c>
      <c r="Z32" s="24">
        <f>SUM(Z24:Z31)</f>
        <v>0</v>
      </c>
      <c r="AA32" s="614"/>
      <c r="AB32" s="614"/>
      <c r="AC32" s="24">
        <v>8</v>
      </c>
      <c r="AD32" s="24">
        <f>SUM(AD24:AD31)</f>
        <v>0</v>
      </c>
      <c r="AE32" s="14">
        <f t="shared" si="8"/>
        <v>-79.721153274879953</v>
      </c>
      <c r="AF32" s="206">
        <f t="shared" si="9"/>
        <v>0.95885359830973937</v>
      </c>
      <c r="AG32" s="615"/>
    </row>
    <row r="33" spans="1:33" ht="15.75" customHeight="1">
      <c r="A33" s="641" t="s">
        <v>827</v>
      </c>
      <c r="B33" s="29" t="s">
        <v>32</v>
      </c>
      <c r="C33" s="640" t="s">
        <v>33</v>
      </c>
      <c r="D33" s="640"/>
      <c r="E33" s="29">
        <v>31.29</v>
      </c>
      <c r="F33" s="210">
        <v>6400</v>
      </c>
      <c r="G33" s="207">
        <f t="shared" ref="G33:G39" si="23">E33*F33</f>
        <v>200256</v>
      </c>
      <c r="H33" s="33">
        <v>2</v>
      </c>
      <c r="I33" s="205">
        <v>18</v>
      </c>
      <c r="J33" s="31">
        <v>2400</v>
      </c>
      <c r="K33" s="12">
        <f t="shared" si="1"/>
        <v>133.33333333333334</v>
      </c>
      <c r="L33" s="205">
        <v>18</v>
      </c>
      <c r="M33" s="13">
        <f t="shared" ref="M33:M39" si="24">F33/V33*60</f>
        <v>2285.7142857142858</v>
      </c>
      <c r="N33" s="12">
        <f t="shared" si="3"/>
        <v>126.98412698412699</v>
      </c>
      <c r="O33" s="14">
        <f t="shared" si="4"/>
        <v>0</v>
      </c>
      <c r="P33" s="15">
        <f t="shared" si="5"/>
        <v>-6.3492063492063551</v>
      </c>
      <c r="Q33" s="206">
        <f t="shared" si="6"/>
        <v>0.95238095238095233</v>
      </c>
      <c r="R33" s="615">
        <f>Q40</f>
        <v>0.95417907219790743</v>
      </c>
      <c r="S33" s="34">
        <v>8.3333333333333329E-2</v>
      </c>
      <c r="T33" s="34">
        <v>0.19999999999999998</v>
      </c>
      <c r="U33" s="207"/>
      <c r="V33" s="208">
        <f t="shared" ref="V33:V39" si="25">(T33-S33)*24*60</f>
        <v>168</v>
      </c>
      <c r="W33" s="16">
        <f>T33</f>
        <v>0.19999999999999998</v>
      </c>
      <c r="X33" s="16">
        <f>S34</f>
        <v>0.22083333333333333</v>
      </c>
      <c r="Y33" s="16"/>
      <c r="Z33" s="16"/>
      <c r="AA33" s="617"/>
      <c r="AB33" s="617"/>
      <c r="AC33" s="35">
        <v>7</v>
      </c>
      <c r="AD33" s="18"/>
      <c r="AE33" s="14">
        <f t="shared" si="8"/>
        <v>-114.28571428571422</v>
      </c>
      <c r="AF33" s="206">
        <f t="shared" si="9"/>
        <v>0.95238095238095244</v>
      </c>
      <c r="AG33" s="615">
        <f>AF40</f>
        <v>0.95417907219790754</v>
      </c>
    </row>
    <row r="34" spans="1:33" ht="15.75" customHeight="1">
      <c r="A34" s="641" t="s">
        <v>828</v>
      </c>
      <c r="B34" s="29" t="s">
        <v>32</v>
      </c>
      <c r="C34" s="640" t="s">
        <v>34</v>
      </c>
      <c r="D34" s="640"/>
      <c r="E34" s="29">
        <v>26.37</v>
      </c>
      <c r="F34" s="210">
        <v>4200</v>
      </c>
      <c r="G34" s="207">
        <f t="shared" si="23"/>
        <v>110754</v>
      </c>
      <c r="H34" s="33">
        <v>2</v>
      </c>
      <c r="I34" s="205">
        <v>18</v>
      </c>
      <c r="J34" s="31">
        <v>2400</v>
      </c>
      <c r="K34" s="12">
        <f t="shared" si="1"/>
        <v>133.33333333333334</v>
      </c>
      <c r="L34" s="205">
        <v>18</v>
      </c>
      <c r="M34" s="13">
        <f t="shared" si="24"/>
        <v>2290.909090909091</v>
      </c>
      <c r="N34" s="12">
        <f t="shared" si="3"/>
        <v>127.27272727272728</v>
      </c>
      <c r="O34" s="14">
        <f t="shared" si="4"/>
        <v>0</v>
      </c>
      <c r="P34" s="15">
        <f t="shared" si="5"/>
        <v>-6.0606060606060623</v>
      </c>
      <c r="Q34" s="206">
        <f t="shared" si="6"/>
        <v>0.95454545454545459</v>
      </c>
      <c r="R34" s="615"/>
      <c r="S34" s="34">
        <v>0.22083333333333333</v>
      </c>
      <c r="T34" s="34">
        <v>0.29722222222222222</v>
      </c>
      <c r="U34" s="207">
        <f t="shared" ref="U34:U39" si="26">(S34-T33)*24*60</f>
        <v>30.000000000000014</v>
      </c>
      <c r="V34" s="208">
        <f t="shared" si="25"/>
        <v>110.00000000000001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-109.09090909090901</v>
      </c>
      <c r="AF34" s="206">
        <f t="shared" si="9"/>
        <v>0.95454545454545459</v>
      </c>
      <c r="AG34" s="615"/>
    </row>
    <row r="35" spans="1:33" ht="15.75" customHeight="1">
      <c r="A35" s="641" t="s">
        <v>828</v>
      </c>
      <c r="B35" s="29" t="s">
        <v>32</v>
      </c>
      <c r="C35" s="640" t="s">
        <v>76</v>
      </c>
      <c r="D35" s="640"/>
      <c r="E35" s="29">
        <v>26.18</v>
      </c>
      <c r="F35" s="210">
        <v>5200</v>
      </c>
      <c r="G35" s="207">
        <f t="shared" si="23"/>
        <v>136136</v>
      </c>
      <c r="H35" s="33">
        <v>2</v>
      </c>
      <c r="I35" s="205">
        <v>18</v>
      </c>
      <c r="J35" s="31">
        <v>2400</v>
      </c>
      <c r="K35" s="12">
        <f t="shared" si="1"/>
        <v>133.33333333333334</v>
      </c>
      <c r="L35" s="205">
        <v>18</v>
      </c>
      <c r="M35" s="13">
        <f t="shared" si="24"/>
        <v>2294.1176470588234</v>
      </c>
      <c r="N35" s="12">
        <f t="shared" si="3"/>
        <v>127.45098039215685</v>
      </c>
      <c r="O35" s="14">
        <f t="shared" si="4"/>
        <v>0</v>
      </c>
      <c r="P35" s="15">
        <f t="shared" si="5"/>
        <v>-5.8823529411764923</v>
      </c>
      <c r="Q35" s="206">
        <f t="shared" si="6"/>
        <v>0.95588235294117629</v>
      </c>
      <c r="R35" s="615"/>
      <c r="S35" s="34">
        <v>0.30138888888888887</v>
      </c>
      <c r="T35" s="34">
        <v>0.39583333333333331</v>
      </c>
      <c r="U35" s="207">
        <f t="shared" si="26"/>
        <v>5.9999999999999787</v>
      </c>
      <c r="V35" s="208">
        <f t="shared" si="25"/>
        <v>136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-105.88235294117658</v>
      </c>
      <c r="AF35" s="206">
        <f t="shared" si="9"/>
        <v>0.95588235294117641</v>
      </c>
      <c r="AG35" s="615"/>
    </row>
    <row r="36" spans="1:33" ht="15.75" customHeight="1">
      <c r="A36" s="641" t="s">
        <v>828</v>
      </c>
      <c r="B36" s="29" t="s">
        <v>32</v>
      </c>
      <c r="C36" s="640" t="s">
        <v>35</v>
      </c>
      <c r="D36" s="640"/>
      <c r="E36" s="29">
        <v>25.99</v>
      </c>
      <c r="F36" s="210">
        <v>4617</v>
      </c>
      <c r="G36" s="207">
        <f t="shared" si="23"/>
        <v>119995.82999999999</v>
      </c>
      <c r="H36" s="33" t="s">
        <v>57</v>
      </c>
      <c r="I36" s="205">
        <v>14</v>
      </c>
      <c r="J36" s="31">
        <v>2400</v>
      </c>
      <c r="K36" s="12">
        <f t="shared" si="1"/>
        <v>171.42857142857142</v>
      </c>
      <c r="L36" s="205">
        <v>14</v>
      </c>
      <c r="M36" s="13">
        <f t="shared" si="24"/>
        <v>2289.4214876033061</v>
      </c>
      <c r="N36" s="12">
        <f t="shared" si="3"/>
        <v>163.530106257379</v>
      </c>
      <c r="O36" s="14">
        <f t="shared" si="4"/>
        <v>0</v>
      </c>
      <c r="P36" s="15">
        <f t="shared" si="5"/>
        <v>-7.898465171192413</v>
      </c>
      <c r="Q36" s="206">
        <f t="shared" si="6"/>
        <v>0.95392561983471091</v>
      </c>
      <c r="R36" s="615"/>
      <c r="S36" s="34">
        <v>0.39930555555555552</v>
      </c>
      <c r="T36" s="34">
        <v>0.48333333333333328</v>
      </c>
      <c r="U36" s="207">
        <f t="shared" si="26"/>
        <v>4.9999999999999822</v>
      </c>
      <c r="V36" s="208">
        <f t="shared" si="25"/>
        <v>120.99999999999997</v>
      </c>
      <c r="W36" s="16">
        <f>T36</f>
        <v>0.48333333333333328</v>
      </c>
      <c r="X36" s="16">
        <f>S37</f>
        <v>0.52361111111111103</v>
      </c>
      <c r="Y36" s="16"/>
      <c r="Z36" s="16"/>
      <c r="AA36" s="617"/>
      <c r="AB36" s="617"/>
      <c r="AC36" s="35"/>
      <c r="AD36" s="18"/>
      <c r="AE36" s="14">
        <f t="shared" si="8"/>
        <v>-110.5785123966939</v>
      </c>
      <c r="AF36" s="206">
        <f t="shared" si="9"/>
        <v>0.95392561983471091</v>
      </c>
      <c r="AG36" s="615"/>
    </row>
    <row r="37" spans="1:33" ht="15.75" customHeight="1">
      <c r="A37" s="641" t="s">
        <v>828</v>
      </c>
      <c r="B37" s="29" t="s">
        <v>32</v>
      </c>
      <c r="C37" s="640" t="s">
        <v>76</v>
      </c>
      <c r="D37" s="640"/>
      <c r="E37" s="29">
        <v>26.18</v>
      </c>
      <c r="F37" s="210">
        <v>3808</v>
      </c>
      <c r="G37" s="207">
        <f t="shared" si="23"/>
        <v>99693.440000000002</v>
      </c>
      <c r="H37" s="33" t="s">
        <v>57</v>
      </c>
      <c r="I37" s="205">
        <v>18</v>
      </c>
      <c r="J37" s="31">
        <v>2400</v>
      </c>
      <c r="K37" s="12">
        <f t="shared" si="1"/>
        <v>133.33333333333334</v>
      </c>
      <c r="L37" s="205">
        <v>18</v>
      </c>
      <c r="M37" s="13">
        <f t="shared" si="24"/>
        <v>2284.8000000000006</v>
      </c>
      <c r="N37" s="12">
        <f t="shared" si="3"/>
        <v>126.93333333333337</v>
      </c>
      <c r="O37" s="14">
        <f t="shared" si="4"/>
        <v>0</v>
      </c>
      <c r="P37" s="15">
        <f t="shared" si="5"/>
        <v>-6.3999999999999773</v>
      </c>
      <c r="Q37" s="206">
        <f t="shared" si="6"/>
        <v>0.95200000000000018</v>
      </c>
      <c r="R37" s="615"/>
      <c r="S37" s="34">
        <v>0.52361111111111103</v>
      </c>
      <c r="T37" s="34">
        <v>0.59305555555555545</v>
      </c>
      <c r="U37" s="207">
        <f t="shared" si="26"/>
        <v>57.999999999999957</v>
      </c>
      <c r="V37" s="208">
        <f t="shared" si="25"/>
        <v>99.999999999999972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-115.19999999999936</v>
      </c>
      <c r="AF37" s="206">
        <f t="shared" si="9"/>
        <v>0.95200000000000029</v>
      </c>
      <c r="AG37" s="615"/>
    </row>
    <row r="38" spans="1:33" ht="15.75" customHeight="1">
      <c r="A38" s="641" t="s">
        <v>828</v>
      </c>
      <c r="B38" s="29" t="s">
        <v>32</v>
      </c>
      <c r="C38" s="640" t="s">
        <v>34</v>
      </c>
      <c r="D38" s="640"/>
      <c r="E38" s="29">
        <v>26.37</v>
      </c>
      <c r="F38" s="210">
        <v>2977</v>
      </c>
      <c r="G38" s="207">
        <f t="shared" si="23"/>
        <v>78503.490000000005</v>
      </c>
      <c r="H38" s="33" t="s">
        <v>57</v>
      </c>
      <c r="I38" s="205">
        <v>18</v>
      </c>
      <c r="J38" s="31">
        <v>2400</v>
      </c>
      <c r="K38" s="12">
        <f t="shared" si="1"/>
        <v>133.33333333333334</v>
      </c>
      <c r="L38" s="205">
        <v>18</v>
      </c>
      <c r="M38" s="13">
        <f t="shared" si="24"/>
        <v>2289.9999999999986</v>
      </c>
      <c r="N38" s="12">
        <f t="shared" si="3"/>
        <v>127.22222222222214</v>
      </c>
      <c r="O38" s="14">
        <f t="shared" si="4"/>
        <v>0</v>
      </c>
      <c r="P38" s="15">
        <f t="shared" si="5"/>
        <v>-6.1111111111111995</v>
      </c>
      <c r="Q38" s="206">
        <f t="shared" si="6"/>
        <v>0.95416666666666605</v>
      </c>
      <c r="R38" s="615"/>
      <c r="S38" s="34">
        <v>0.59652777777777766</v>
      </c>
      <c r="T38" s="34">
        <v>0.65069444444444435</v>
      </c>
      <c r="U38" s="207">
        <f t="shared" si="26"/>
        <v>4.9999999999999822</v>
      </c>
      <c r="V38" s="208">
        <f t="shared" si="25"/>
        <v>78.000000000000043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-110.00000000000136</v>
      </c>
      <c r="AF38" s="206">
        <f t="shared" si="9"/>
        <v>0.95416666666666605</v>
      </c>
      <c r="AG38" s="615"/>
    </row>
    <row r="39" spans="1:33" ht="15.75" customHeight="1">
      <c r="A39" s="641" t="s">
        <v>829</v>
      </c>
      <c r="B39" s="29" t="s">
        <v>32</v>
      </c>
      <c r="C39" s="640" t="s">
        <v>33</v>
      </c>
      <c r="D39" s="640"/>
      <c r="E39" s="29">
        <v>31.29</v>
      </c>
      <c r="F39" s="210">
        <v>4667</v>
      </c>
      <c r="G39" s="207">
        <f t="shared" si="23"/>
        <v>146030.43</v>
      </c>
      <c r="H39" s="33" t="s">
        <v>57</v>
      </c>
      <c r="I39" s="205">
        <v>18</v>
      </c>
      <c r="J39" s="31">
        <v>2400</v>
      </c>
      <c r="K39" s="12">
        <f t="shared" si="1"/>
        <v>133.33333333333334</v>
      </c>
      <c r="L39" s="205">
        <v>18</v>
      </c>
      <c r="M39" s="13">
        <f t="shared" si="24"/>
        <v>2295.2459016393436</v>
      </c>
      <c r="N39" s="12">
        <f t="shared" si="3"/>
        <v>127.51366120218576</v>
      </c>
      <c r="O39" s="14">
        <f t="shared" si="4"/>
        <v>0</v>
      </c>
      <c r="P39" s="15">
        <f t="shared" si="5"/>
        <v>-5.8196721311475841</v>
      </c>
      <c r="Q39" s="206">
        <f t="shared" si="6"/>
        <v>0.9563524590163931</v>
      </c>
      <c r="R39" s="615"/>
      <c r="S39" s="34">
        <v>0.65555555555555545</v>
      </c>
      <c r="T39" s="34">
        <v>0.7402777777777777</v>
      </c>
      <c r="U39" s="207">
        <f t="shared" si="26"/>
        <v>6.9999999999999751</v>
      </c>
      <c r="V39" s="208">
        <f t="shared" si="25"/>
        <v>122.00000000000004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-104.75409836065637</v>
      </c>
      <c r="AF39" s="206">
        <f t="shared" si="9"/>
        <v>0.95635245901639321</v>
      </c>
      <c r="AG39" s="615"/>
    </row>
    <row r="40" spans="1:33" ht="15.75" customHeight="1">
      <c r="A40" s="641" t="s">
        <v>828</v>
      </c>
      <c r="B40" s="29" t="s">
        <v>830</v>
      </c>
      <c r="C40" s="618"/>
      <c r="D40" s="618"/>
      <c r="E40" s="213"/>
      <c r="F40" s="210"/>
      <c r="G40" s="207"/>
      <c r="H40" s="210"/>
      <c r="I40" s="23">
        <v>17.428571428571427</v>
      </c>
      <c r="J40" s="31">
        <v>2400</v>
      </c>
      <c r="K40" s="12">
        <f t="shared" si="1"/>
        <v>137.70491803278691</v>
      </c>
      <c r="L40" s="23">
        <v>17.428571428571427</v>
      </c>
      <c r="M40" s="13">
        <f>AVERAGE(M33:M39)</f>
        <v>2290.0297732749782</v>
      </c>
      <c r="N40" s="12">
        <f t="shared" si="3"/>
        <v>131.39515092561351</v>
      </c>
      <c r="O40" s="14">
        <f t="shared" si="4"/>
        <v>0</v>
      </c>
      <c r="P40" s="15">
        <f t="shared" si="5"/>
        <v>-6.3097671071733998</v>
      </c>
      <c r="Q40" s="206">
        <f t="shared" si="6"/>
        <v>0.95417907219790743</v>
      </c>
      <c r="R40" s="615"/>
      <c r="S40" s="34"/>
      <c r="T40" s="34"/>
      <c r="U40" s="207"/>
      <c r="V40" s="208"/>
      <c r="W40" s="207"/>
      <c r="X40" s="207"/>
      <c r="Y40" s="24">
        <f>SUM(Y33:Y39)</f>
        <v>0</v>
      </c>
      <c r="Z40" s="24">
        <f>SUM(Z33:Z39)</f>
        <v>0</v>
      </c>
      <c r="AA40" s="614"/>
      <c r="AB40" s="614"/>
      <c r="AC40" s="24">
        <v>7</v>
      </c>
      <c r="AD40" s="24">
        <f>SUM(AD33:AD39)</f>
        <v>0</v>
      </c>
      <c r="AE40" s="14">
        <f t="shared" si="8"/>
        <v>-109.9702267250218</v>
      </c>
      <c r="AF40" s="206">
        <f t="shared" si="9"/>
        <v>0.95417907219790754</v>
      </c>
      <c r="AG40" s="615"/>
    </row>
    <row r="41" spans="1:33" ht="15.75" customHeight="1">
      <c r="A41" s="638" t="s">
        <v>831</v>
      </c>
      <c r="B41" s="29" t="s">
        <v>32</v>
      </c>
      <c r="C41" s="616" t="s">
        <v>77</v>
      </c>
      <c r="D41" s="616"/>
      <c r="E41" s="29">
        <v>26.18</v>
      </c>
      <c r="F41" s="210">
        <v>4000</v>
      </c>
      <c r="G41" s="207">
        <f t="shared" ref="G41:G48" si="27">E41*F41</f>
        <v>104720</v>
      </c>
      <c r="H41" s="33">
        <v>2</v>
      </c>
      <c r="I41" s="205">
        <v>20</v>
      </c>
      <c r="J41" s="31">
        <v>2400</v>
      </c>
      <c r="K41" s="12">
        <f t="shared" si="1"/>
        <v>120</v>
      </c>
      <c r="L41" s="205">
        <v>20</v>
      </c>
      <c r="M41" s="13">
        <f t="shared" ref="M41:M48" si="28">F41/V41*60</f>
        <v>2285.7142857142858</v>
      </c>
      <c r="N41" s="12">
        <f t="shared" si="3"/>
        <v>114.28571428571429</v>
      </c>
      <c r="O41" s="14">
        <f t="shared" si="4"/>
        <v>0</v>
      </c>
      <c r="P41" s="15">
        <f t="shared" si="5"/>
        <v>-5.7142857142857082</v>
      </c>
      <c r="Q41" s="206">
        <f t="shared" si="6"/>
        <v>0.95238095238095244</v>
      </c>
      <c r="R41" s="615">
        <f>Q49</f>
        <v>0.9560510940935979</v>
      </c>
      <c r="S41" s="34">
        <v>8.3333333333333329E-2</v>
      </c>
      <c r="T41" s="34">
        <v>0.15625</v>
      </c>
      <c r="U41" s="207"/>
      <c r="V41" s="208">
        <f t="shared" ref="V41:V48" si="29">(T41-S41)*24*60</f>
        <v>105</v>
      </c>
      <c r="W41" s="21">
        <f>T41</f>
        <v>0.15625</v>
      </c>
      <c r="X41" s="21">
        <f>S42</f>
        <v>0.17569444444444443</v>
      </c>
      <c r="Y41" s="21"/>
      <c r="Z41" s="21"/>
      <c r="AA41" s="617"/>
      <c r="AB41" s="617"/>
      <c r="AC41" s="35">
        <v>8</v>
      </c>
      <c r="AD41" s="18"/>
      <c r="AE41" s="14">
        <f t="shared" si="8"/>
        <v>-114.28571428571422</v>
      </c>
      <c r="AF41" s="206">
        <f t="shared" si="9"/>
        <v>0.95238095238095244</v>
      </c>
      <c r="AG41" s="615">
        <f>AF49</f>
        <v>0.95605109409359779</v>
      </c>
    </row>
    <row r="42" spans="1:33" ht="15.75" customHeight="1">
      <c r="A42" s="638" t="s">
        <v>832</v>
      </c>
      <c r="B42" s="29" t="s">
        <v>32</v>
      </c>
      <c r="C42" s="616" t="s">
        <v>37</v>
      </c>
      <c r="D42" s="616"/>
      <c r="E42" s="29">
        <v>24.43</v>
      </c>
      <c r="F42" s="210">
        <v>4300</v>
      </c>
      <c r="G42" s="207">
        <f t="shared" si="27"/>
        <v>105049</v>
      </c>
      <c r="H42" s="33">
        <v>2</v>
      </c>
      <c r="I42" s="205">
        <v>14</v>
      </c>
      <c r="J42" s="31">
        <v>2400</v>
      </c>
      <c r="K42" s="12">
        <f t="shared" si="1"/>
        <v>171.42857142857142</v>
      </c>
      <c r="L42" s="205">
        <v>14</v>
      </c>
      <c r="M42" s="13">
        <f t="shared" si="28"/>
        <v>2303.5714285714289</v>
      </c>
      <c r="N42" s="12">
        <f t="shared" si="3"/>
        <v>164.54081632653063</v>
      </c>
      <c r="O42" s="14">
        <f t="shared" si="4"/>
        <v>0</v>
      </c>
      <c r="P42" s="15">
        <f t="shared" si="5"/>
        <v>-6.887755102040785</v>
      </c>
      <c r="Q42" s="206">
        <f t="shared" si="6"/>
        <v>0.95982142857142871</v>
      </c>
      <c r="R42" s="615"/>
      <c r="S42" s="34">
        <v>0.17569444444444443</v>
      </c>
      <c r="T42" s="34">
        <v>0.25347222222222221</v>
      </c>
      <c r="U42" s="207">
        <f t="shared" ref="U42:U48" si="30">(S42-T41)*24*60</f>
        <v>27.999999999999979</v>
      </c>
      <c r="V42" s="208">
        <f t="shared" si="29"/>
        <v>112</v>
      </c>
      <c r="W42" s="207"/>
      <c r="X42" s="207"/>
      <c r="Y42" s="207"/>
      <c r="Z42" s="207"/>
      <c r="AA42" s="617"/>
      <c r="AB42" s="617"/>
      <c r="AC42" s="35"/>
      <c r="AD42" s="18"/>
      <c r="AE42" s="14">
        <f t="shared" si="8"/>
        <v>-96.428571428571104</v>
      </c>
      <c r="AF42" s="206">
        <f t="shared" si="9"/>
        <v>0.95982142857142871</v>
      </c>
      <c r="AG42" s="615"/>
    </row>
    <row r="43" spans="1:33">
      <c r="A43" s="639" t="s">
        <v>832</v>
      </c>
      <c r="B43" s="29" t="s">
        <v>32</v>
      </c>
      <c r="C43" s="616" t="s">
        <v>38</v>
      </c>
      <c r="D43" s="616"/>
      <c r="E43" s="29">
        <v>25.98</v>
      </c>
      <c r="F43" s="210">
        <v>3502</v>
      </c>
      <c r="G43" s="207">
        <f t="shared" si="27"/>
        <v>90981.96</v>
      </c>
      <c r="H43" s="33" t="s">
        <v>57</v>
      </c>
      <c r="I43" s="205">
        <v>21</v>
      </c>
      <c r="J43" s="31">
        <v>2400</v>
      </c>
      <c r="K43" s="12">
        <f t="shared" si="1"/>
        <v>114.28571428571429</v>
      </c>
      <c r="L43" s="205">
        <v>21</v>
      </c>
      <c r="M43" s="13">
        <f t="shared" si="28"/>
        <v>2283.913043478261</v>
      </c>
      <c r="N43" s="12">
        <f t="shared" si="3"/>
        <v>108.75776397515529</v>
      </c>
      <c r="O43" s="14">
        <f t="shared" si="4"/>
        <v>0</v>
      </c>
      <c r="P43" s="15">
        <f t="shared" si="5"/>
        <v>-5.5279503105590067</v>
      </c>
      <c r="Q43" s="206">
        <f t="shared" si="6"/>
        <v>0.95163043478260867</v>
      </c>
      <c r="R43" s="615"/>
      <c r="S43" s="34">
        <v>0.25763888888888886</v>
      </c>
      <c r="T43" s="34">
        <v>0.32152777777777775</v>
      </c>
      <c r="U43" s="207">
        <f t="shared" si="30"/>
        <v>5.9999999999999787</v>
      </c>
      <c r="V43" s="208">
        <f t="shared" si="29"/>
        <v>92</v>
      </c>
      <c r="W43" s="207"/>
      <c r="X43" s="207"/>
      <c r="Y43" s="207"/>
      <c r="Z43" s="207"/>
      <c r="AA43" s="617"/>
      <c r="AB43" s="617"/>
      <c r="AC43" s="35"/>
      <c r="AD43" s="18"/>
      <c r="AE43" s="14">
        <f t="shared" si="8"/>
        <v>-116.08695652173901</v>
      </c>
      <c r="AF43" s="206">
        <f t="shared" si="9"/>
        <v>0.95163043478260878</v>
      </c>
      <c r="AG43" s="615"/>
    </row>
    <row r="44" spans="1:33">
      <c r="A44" s="639" t="s">
        <v>11</v>
      </c>
      <c r="B44" s="29" t="s">
        <v>32</v>
      </c>
      <c r="C44" s="616" t="s">
        <v>79</v>
      </c>
      <c r="D44" s="616"/>
      <c r="E44" s="29">
        <v>25.99</v>
      </c>
      <c r="F44" s="210">
        <v>2883</v>
      </c>
      <c r="G44" s="207">
        <f t="shared" si="27"/>
        <v>74929.17</v>
      </c>
      <c r="H44" s="33" t="s">
        <v>57</v>
      </c>
      <c r="I44" s="205">
        <v>18</v>
      </c>
      <c r="J44" s="31">
        <v>2400</v>
      </c>
      <c r="K44" s="12">
        <f t="shared" si="1"/>
        <v>133.33333333333334</v>
      </c>
      <c r="L44" s="205">
        <v>18</v>
      </c>
      <c r="M44" s="13">
        <f t="shared" si="28"/>
        <v>2306.4000000000005</v>
      </c>
      <c r="N44" s="12">
        <f t="shared" si="3"/>
        <v>128.13333333333335</v>
      </c>
      <c r="O44" s="14">
        <f t="shared" si="4"/>
        <v>0</v>
      </c>
      <c r="P44" s="15">
        <f t="shared" si="5"/>
        <v>-5.1999999999999886</v>
      </c>
      <c r="Q44" s="206">
        <f t="shared" si="6"/>
        <v>0.96100000000000008</v>
      </c>
      <c r="R44" s="615"/>
      <c r="S44" s="34">
        <v>0.32499999999999996</v>
      </c>
      <c r="T44" s="34">
        <v>0.37708333333333327</v>
      </c>
      <c r="U44" s="207">
        <f t="shared" si="30"/>
        <v>4.9999999999999822</v>
      </c>
      <c r="V44" s="208">
        <f t="shared" si="29"/>
        <v>74.999999999999972</v>
      </c>
      <c r="W44" s="16"/>
      <c r="X44" s="16"/>
      <c r="Y44" s="16"/>
      <c r="Z44" s="16"/>
      <c r="AA44" s="617"/>
      <c r="AB44" s="617"/>
      <c r="AC44" s="35"/>
      <c r="AD44" s="18"/>
      <c r="AE44" s="14">
        <f t="shared" si="8"/>
        <v>-93.599999999999454</v>
      </c>
      <c r="AF44" s="206">
        <f t="shared" si="9"/>
        <v>0.96100000000000019</v>
      </c>
      <c r="AG44" s="615"/>
    </row>
    <row r="45" spans="1:33">
      <c r="A45" s="639" t="s">
        <v>833</v>
      </c>
      <c r="B45" s="29" t="s">
        <v>32</v>
      </c>
      <c r="C45" s="616" t="s">
        <v>39</v>
      </c>
      <c r="D45" s="616"/>
      <c r="E45" s="29">
        <v>34.1</v>
      </c>
      <c r="F45" s="210">
        <v>4100</v>
      </c>
      <c r="G45" s="207">
        <f t="shared" si="27"/>
        <v>139810</v>
      </c>
      <c r="H45" s="33">
        <v>2</v>
      </c>
      <c r="I45" s="205">
        <v>17</v>
      </c>
      <c r="J45" s="31">
        <v>1600</v>
      </c>
      <c r="K45" s="12">
        <f t="shared" si="1"/>
        <v>94.117647058823536</v>
      </c>
      <c r="L45" s="205">
        <v>17</v>
      </c>
      <c r="M45" s="13">
        <f t="shared" si="28"/>
        <v>1527.9503105590063</v>
      </c>
      <c r="N45" s="12">
        <f t="shared" si="3"/>
        <v>89.879430032882723</v>
      </c>
      <c r="O45" s="14">
        <f t="shared" si="4"/>
        <v>0</v>
      </c>
      <c r="P45" s="15">
        <f t="shared" si="5"/>
        <v>-4.2382170259408127</v>
      </c>
      <c r="Q45" s="206">
        <f t="shared" si="6"/>
        <v>0.95496894409937882</v>
      </c>
      <c r="R45" s="615"/>
      <c r="S45" s="34">
        <v>0.38055555555555548</v>
      </c>
      <c r="T45" s="34">
        <v>0.49236111111111103</v>
      </c>
      <c r="U45" s="207">
        <f t="shared" si="30"/>
        <v>4.9999999999999822</v>
      </c>
      <c r="V45" s="208">
        <f t="shared" si="29"/>
        <v>161</v>
      </c>
      <c r="W45" s="16">
        <f>T45</f>
        <v>0.49236111111111103</v>
      </c>
      <c r="X45" s="16">
        <f>S46</f>
        <v>0.53055555555555545</v>
      </c>
      <c r="Y45" s="16"/>
      <c r="Z45" s="16"/>
      <c r="AA45" s="617"/>
      <c r="AB45" s="617"/>
      <c r="AC45" s="35"/>
      <c r="AD45" s="18"/>
      <c r="AE45" s="14">
        <f t="shared" si="8"/>
        <v>-72.049689440993689</v>
      </c>
      <c r="AF45" s="206">
        <f t="shared" si="9"/>
        <v>0.95496894409937894</v>
      </c>
      <c r="AG45" s="615"/>
    </row>
    <row r="46" spans="1:33">
      <c r="A46" s="639" t="s">
        <v>834</v>
      </c>
      <c r="B46" s="29" t="s">
        <v>32</v>
      </c>
      <c r="C46" s="616" t="s">
        <v>39</v>
      </c>
      <c r="D46" s="616"/>
      <c r="E46" s="29">
        <v>34.1</v>
      </c>
      <c r="F46" s="210">
        <v>3291</v>
      </c>
      <c r="G46" s="207">
        <f t="shared" si="27"/>
        <v>112223.1</v>
      </c>
      <c r="H46" s="33" t="s">
        <v>57</v>
      </c>
      <c r="I46" s="205">
        <v>17</v>
      </c>
      <c r="J46" s="31">
        <v>1600</v>
      </c>
      <c r="K46" s="12">
        <f t="shared" si="1"/>
        <v>94.117647058823536</v>
      </c>
      <c r="L46" s="205">
        <v>17</v>
      </c>
      <c r="M46" s="13">
        <f t="shared" si="28"/>
        <v>1530.6976744186043</v>
      </c>
      <c r="N46" s="12">
        <f t="shared" si="3"/>
        <v>90.041039671682597</v>
      </c>
      <c r="O46" s="14">
        <f t="shared" si="4"/>
        <v>0</v>
      </c>
      <c r="P46" s="15">
        <f t="shared" si="5"/>
        <v>-4.076607387140939</v>
      </c>
      <c r="Q46" s="206">
        <f t="shared" si="6"/>
        <v>0.95668604651162747</v>
      </c>
      <c r="R46" s="615"/>
      <c r="S46" s="34">
        <v>0.53055555555555545</v>
      </c>
      <c r="T46" s="34">
        <v>0.6201388888888888</v>
      </c>
      <c r="U46" s="207">
        <f t="shared" si="30"/>
        <v>54.999999999999964</v>
      </c>
      <c r="V46" s="208">
        <f t="shared" si="29"/>
        <v>129.00000000000003</v>
      </c>
      <c r="W46" s="16"/>
      <c r="X46" s="16"/>
      <c r="Y46" s="16"/>
      <c r="Z46" s="16"/>
      <c r="AA46" s="617"/>
      <c r="AB46" s="617"/>
      <c r="AC46" s="35"/>
      <c r="AD46" s="18"/>
      <c r="AE46" s="14">
        <f t="shared" si="8"/>
        <v>-69.302325581395735</v>
      </c>
      <c r="AF46" s="206">
        <f t="shared" si="9"/>
        <v>0.9566860465116277</v>
      </c>
      <c r="AG46" s="615"/>
    </row>
    <row r="47" spans="1:33">
      <c r="A47" s="639" t="s">
        <v>835</v>
      </c>
      <c r="B47" s="29" t="s">
        <v>32</v>
      </c>
      <c r="C47" s="616" t="s">
        <v>37</v>
      </c>
      <c r="D47" s="616"/>
      <c r="E47" s="29">
        <v>24.43</v>
      </c>
      <c r="F47" s="210">
        <v>3404</v>
      </c>
      <c r="G47" s="207">
        <f t="shared" si="27"/>
        <v>83159.72</v>
      </c>
      <c r="H47" s="33" t="s">
        <v>57</v>
      </c>
      <c r="I47" s="205">
        <v>14</v>
      </c>
      <c r="J47" s="31">
        <v>2400</v>
      </c>
      <c r="K47" s="12">
        <f t="shared" si="1"/>
        <v>171.42857142857142</v>
      </c>
      <c r="L47" s="205">
        <v>14</v>
      </c>
      <c r="M47" s="13">
        <f t="shared" si="28"/>
        <v>2294.8314606741574</v>
      </c>
      <c r="N47" s="12">
        <f t="shared" si="3"/>
        <v>163.91653290529695</v>
      </c>
      <c r="O47" s="14">
        <f t="shared" si="4"/>
        <v>0</v>
      </c>
      <c r="P47" s="15">
        <f t="shared" si="5"/>
        <v>-7.5120385232744695</v>
      </c>
      <c r="Q47" s="206">
        <f t="shared" si="6"/>
        <v>0.95617977528089892</v>
      </c>
      <c r="R47" s="615"/>
      <c r="S47" s="34">
        <v>0.62430555555555545</v>
      </c>
      <c r="T47" s="34">
        <v>0.68611111111111101</v>
      </c>
      <c r="U47" s="207">
        <f t="shared" si="30"/>
        <v>5.9999999999999787</v>
      </c>
      <c r="V47" s="208">
        <f t="shared" si="29"/>
        <v>89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-105.16853932584263</v>
      </c>
      <c r="AF47" s="206">
        <f t="shared" si="9"/>
        <v>0.95617977528089892</v>
      </c>
      <c r="AG47" s="615"/>
    </row>
    <row r="48" spans="1:33">
      <c r="A48" s="639" t="s">
        <v>11</v>
      </c>
      <c r="B48" s="29" t="s">
        <v>32</v>
      </c>
      <c r="C48" s="616" t="s">
        <v>77</v>
      </c>
      <c r="D48" s="616"/>
      <c r="E48" s="29">
        <v>26.18</v>
      </c>
      <c r="F48" s="210">
        <v>2905</v>
      </c>
      <c r="G48" s="207">
        <f t="shared" si="27"/>
        <v>76052.899999999994</v>
      </c>
      <c r="H48" s="33" t="s">
        <v>57</v>
      </c>
      <c r="I48" s="205">
        <v>20</v>
      </c>
      <c r="J48" s="31">
        <v>2400</v>
      </c>
      <c r="K48" s="12">
        <f t="shared" si="1"/>
        <v>120</v>
      </c>
      <c r="L48" s="205">
        <v>20</v>
      </c>
      <c r="M48" s="13">
        <f t="shared" si="28"/>
        <v>2293.4210526315774</v>
      </c>
      <c r="N48" s="12">
        <f t="shared" si="3"/>
        <v>114.67105263157887</v>
      </c>
      <c r="O48" s="14">
        <f t="shared" si="4"/>
        <v>0</v>
      </c>
      <c r="P48" s="15">
        <f t="shared" si="5"/>
        <v>-5.3289473684211259</v>
      </c>
      <c r="Q48" s="206">
        <f t="shared" si="6"/>
        <v>0.9555921052631573</v>
      </c>
      <c r="R48" s="615"/>
      <c r="S48" s="34">
        <v>0.69166666666666654</v>
      </c>
      <c r="T48" s="34">
        <v>0.74444444444444435</v>
      </c>
      <c r="U48" s="207">
        <f t="shared" si="30"/>
        <v>7.9999999999999716</v>
      </c>
      <c r="V48" s="208">
        <f t="shared" si="29"/>
        <v>76.000000000000057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-106.57894736842263</v>
      </c>
      <c r="AF48" s="206">
        <f t="shared" si="9"/>
        <v>0.95559210526315719</v>
      </c>
      <c r="AG48" s="615"/>
    </row>
    <row r="49" spans="1:33">
      <c r="A49" s="639" t="s">
        <v>835</v>
      </c>
      <c r="B49" s="30" t="s">
        <v>836</v>
      </c>
      <c r="C49" s="618"/>
      <c r="D49" s="618"/>
      <c r="E49" s="213"/>
      <c r="F49" s="30"/>
      <c r="G49" s="12"/>
      <c r="H49" s="210"/>
      <c r="I49" s="23">
        <v>17.625</v>
      </c>
      <c r="J49" s="31">
        <v>2200</v>
      </c>
      <c r="K49" s="12">
        <f t="shared" si="1"/>
        <v>124.822695035461</v>
      </c>
      <c r="L49" s="23">
        <v>17.625</v>
      </c>
      <c r="M49" s="13">
        <f>AVERAGE(M41:M48)</f>
        <v>2103.3124070059152</v>
      </c>
      <c r="N49" s="12">
        <f t="shared" si="3"/>
        <v>119.33687415636399</v>
      </c>
      <c r="O49" s="14">
        <f t="shared" si="4"/>
        <v>0</v>
      </c>
      <c r="P49" s="15">
        <f t="shared" si="5"/>
        <v>-5.4858208790970053</v>
      </c>
      <c r="Q49" s="206">
        <f t="shared" si="6"/>
        <v>0.9560510940935979</v>
      </c>
      <c r="R49" s="615"/>
      <c r="S49" s="34"/>
      <c r="T49" s="34"/>
      <c r="U49" s="12"/>
      <c r="V49" s="208"/>
      <c r="W49" s="12"/>
      <c r="X49" s="12"/>
      <c r="Y49" s="24">
        <f>SUM(Y41:Y48)</f>
        <v>0</v>
      </c>
      <c r="Z49" s="24">
        <f>SUM(Z41:Z48)</f>
        <v>0</v>
      </c>
      <c r="AA49" s="614"/>
      <c r="AB49" s="614"/>
      <c r="AC49" s="24">
        <v>8</v>
      </c>
      <c r="AD49" s="24">
        <f>SUM(AD41:AD48)</f>
        <v>0</v>
      </c>
      <c r="AE49" s="14">
        <f t="shared" si="8"/>
        <v>-96.687592994084753</v>
      </c>
      <c r="AF49" s="206">
        <f t="shared" si="9"/>
        <v>0.95605109409359779</v>
      </c>
      <c r="AG49" s="615"/>
    </row>
    <row r="50" spans="1:33" ht="15.75" customHeight="1">
      <c r="A50" s="632" t="s">
        <v>12</v>
      </c>
      <c r="B50" s="29" t="s">
        <v>40</v>
      </c>
      <c r="C50" s="622" t="s">
        <v>41</v>
      </c>
      <c r="D50" s="623"/>
      <c r="E50" s="29">
        <v>37.880000000000003</v>
      </c>
      <c r="F50" s="210">
        <v>1097</v>
      </c>
      <c r="G50" s="207">
        <f t="shared" ref="G50:G53" si="31">E50*F50</f>
        <v>41554.36</v>
      </c>
      <c r="H50" s="33" t="s">
        <v>57</v>
      </c>
      <c r="I50" s="205">
        <v>13</v>
      </c>
      <c r="J50" s="31">
        <v>2000</v>
      </c>
      <c r="K50" s="12">
        <f t="shared" si="1"/>
        <v>153.84615384615384</v>
      </c>
      <c r="L50" s="205">
        <v>13</v>
      </c>
      <c r="M50" s="13">
        <f t="shared" ref="M50:M53" si="32">F50/V50*60</f>
        <v>1935.8823529411766</v>
      </c>
      <c r="N50" s="13">
        <f t="shared" si="3"/>
        <v>148.91402714932127</v>
      </c>
      <c r="O50" s="14">
        <f t="shared" si="4"/>
        <v>0</v>
      </c>
      <c r="P50" s="15">
        <f t="shared" si="5"/>
        <v>-4.9321266968325688</v>
      </c>
      <c r="Q50" s="206">
        <f t="shared" si="6"/>
        <v>0.9679411764705883</v>
      </c>
      <c r="R50" s="635">
        <f>Q54</f>
        <v>0.95453633502610691</v>
      </c>
      <c r="S50" s="34">
        <v>8.3333333333333329E-2</v>
      </c>
      <c r="T50" s="34">
        <v>0.10694444444444444</v>
      </c>
      <c r="U50" s="21"/>
      <c r="V50" s="208">
        <f t="shared" ref="V50:V53" si="33">(T50-S50)*24*60</f>
        <v>34</v>
      </c>
      <c r="W50" s="16">
        <f>T50</f>
        <v>0.10694444444444444</v>
      </c>
      <c r="X50" s="16">
        <f>S51</f>
        <v>0.12569444444444444</v>
      </c>
      <c r="Y50" s="19"/>
      <c r="Z50" s="19"/>
      <c r="AA50" s="624"/>
      <c r="AB50" s="625"/>
      <c r="AC50" s="35">
        <v>4</v>
      </c>
      <c r="AD50" s="18"/>
      <c r="AE50" s="14">
        <f t="shared" si="8"/>
        <v>-64.117647058823422</v>
      </c>
      <c r="AF50" s="206">
        <f t="shared" si="9"/>
        <v>0.9679411764705883</v>
      </c>
      <c r="AG50" s="635">
        <f>AF54</f>
        <v>0.95453633502610702</v>
      </c>
    </row>
    <row r="51" spans="1:33" ht="15.75" customHeight="1">
      <c r="A51" s="633" t="s">
        <v>12</v>
      </c>
      <c r="B51" s="29" t="s">
        <v>40</v>
      </c>
      <c r="C51" s="622" t="s">
        <v>42</v>
      </c>
      <c r="D51" s="623"/>
      <c r="E51" s="29">
        <v>35.119999999999997</v>
      </c>
      <c r="F51" s="210">
        <v>6475</v>
      </c>
      <c r="G51" s="207">
        <f t="shared" si="31"/>
        <v>227401.99999999997</v>
      </c>
      <c r="H51" s="33" t="s">
        <v>57</v>
      </c>
      <c r="I51" s="205">
        <v>10</v>
      </c>
      <c r="J51" s="31">
        <v>3000</v>
      </c>
      <c r="K51" s="12">
        <f t="shared" si="1"/>
        <v>300</v>
      </c>
      <c r="L51" s="205">
        <v>10</v>
      </c>
      <c r="M51" s="13">
        <f t="shared" si="32"/>
        <v>2856.6176470588234</v>
      </c>
      <c r="N51" s="13">
        <f t="shared" si="3"/>
        <v>285.66176470588232</v>
      </c>
      <c r="O51" s="14">
        <f t="shared" si="4"/>
        <v>0</v>
      </c>
      <c r="P51" s="15">
        <f t="shared" si="5"/>
        <v>-14.33823529411768</v>
      </c>
      <c r="Q51" s="206">
        <f t="shared" si="6"/>
        <v>0.95220588235294101</v>
      </c>
      <c r="R51" s="636"/>
      <c r="S51" s="34">
        <v>0.12569444444444444</v>
      </c>
      <c r="T51" s="34">
        <v>0.22013888888888888</v>
      </c>
      <c r="U51" s="207">
        <f t="shared" ref="U51:U53" si="34">(S51-T50)*24*60</f>
        <v>27.000000000000004</v>
      </c>
      <c r="V51" s="208">
        <f t="shared" si="33"/>
        <v>136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-143.38235294117658</v>
      </c>
      <c r="AF51" s="206">
        <f t="shared" si="9"/>
        <v>0.95220588235294112</v>
      </c>
      <c r="AG51" s="636"/>
    </row>
    <row r="52" spans="1:33" ht="15.75" customHeight="1">
      <c r="A52" s="633" t="s">
        <v>12</v>
      </c>
      <c r="B52" s="29" t="s">
        <v>40</v>
      </c>
      <c r="C52" s="622" t="s">
        <v>43</v>
      </c>
      <c r="D52" s="623"/>
      <c r="E52" s="29">
        <v>21.13</v>
      </c>
      <c r="F52" s="210">
        <v>5900</v>
      </c>
      <c r="G52" s="207">
        <f t="shared" si="31"/>
        <v>124667</v>
      </c>
      <c r="H52" s="33" t="s">
        <v>57</v>
      </c>
      <c r="I52" s="205">
        <v>10</v>
      </c>
      <c r="J52" s="31">
        <v>3000</v>
      </c>
      <c r="K52" s="12">
        <f t="shared" si="1"/>
        <v>300</v>
      </c>
      <c r="L52" s="205">
        <v>10</v>
      </c>
      <c r="M52" s="13">
        <f t="shared" si="32"/>
        <v>2854.8387096774195</v>
      </c>
      <c r="N52" s="13">
        <f t="shared" si="3"/>
        <v>285.48387096774195</v>
      </c>
      <c r="O52" s="14">
        <f t="shared" si="4"/>
        <v>0</v>
      </c>
      <c r="P52" s="15">
        <f t="shared" si="5"/>
        <v>-14.51612903225805</v>
      </c>
      <c r="Q52" s="206">
        <f t="shared" si="6"/>
        <v>0.95161290322580649</v>
      </c>
      <c r="R52" s="636"/>
      <c r="S52" s="34">
        <v>0.22430555555555556</v>
      </c>
      <c r="T52" s="34">
        <v>0.31041666666666667</v>
      </c>
      <c r="U52" s="207">
        <f t="shared" si="34"/>
        <v>6.0000000000000187</v>
      </c>
      <c r="V52" s="208">
        <f t="shared" si="33"/>
        <v>123.99999999999999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-145.1612903225805</v>
      </c>
      <c r="AF52" s="206">
        <f t="shared" si="9"/>
        <v>0.95161290322580649</v>
      </c>
      <c r="AG52" s="636"/>
    </row>
    <row r="53" spans="1:33" ht="15.75" customHeight="1">
      <c r="A53" s="633" t="s">
        <v>12</v>
      </c>
      <c r="B53" s="29" t="s">
        <v>40</v>
      </c>
      <c r="C53" s="622" t="s">
        <v>44</v>
      </c>
      <c r="D53" s="623"/>
      <c r="E53" s="29">
        <v>27.17</v>
      </c>
      <c r="F53" s="210">
        <v>7797</v>
      </c>
      <c r="G53" s="207">
        <f t="shared" si="31"/>
        <v>211844.49000000002</v>
      </c>
      <c r="H53" s="33" t="s">
        <v>57</v>
      </c>
      <c r="I53" s="205">
        <v>10</v>
      </c>
      <c r="J53" s="31">
        <v>3000</v>
      </c>
      <c r="K53" s="12">
        <f t="shared" si="1"/>
        <v>300</v>
      </c>
      <c r="L53" s="205">
        <v>10</v>
      </c>
      <c r="M53" s="13">
        <f t="shared" si="32"/>
        <v>2852.560975609757</v>
      </c>
      <c r="N53" s="13">
        <f t="shared" si="3"/>
        <v>285.25609756097572</v>
      </c>
      <c r="O53" s="14">
        <f t="shared" si="4"/>
        <v>0</v>
      </c>
      <c r="P53" s="15">
        <f t="shared" si="5"/>
        <v>-14.743902439024282</v>
      </c>
      <c r="Q53" s="206">
        <f t="shared" si="6"/>
        <v>0.95085365853658577</v>
      </c>
      <c r="R53" s="636"/>
      <c r="S53" s="34">
        <v>0.31388888888888888</v>
      </c>
      <c r="T53" s="34">
        <v>0.42777777777777776</v>
      </c>
      <c r="U53" s="207">
        <f t="shared" si="34"/>
        <v>4.9999999999999822</v>
      </c>
      <c r="V53" s="208">
        <f t="shared" si="33"/>
        <v>163.99999999999997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-147.43902439024305</v>
      </c>
      <c r="AF53" s="206">
        <f t="shared" si="9"/>
        <v>0.95085365853658566</v>
      </c>
      <c r="AG53" s="636"/>
    </row>
    <row r="54" spans="1:33" ht="15.75" customHeight="1">
      <c r="A54" s="634" t="s">
        <v>12</v>
      </c>
      <c r="B54" s="29" t="s">
        <v>6</v>
      </c>
      <c r="C54" s="612"/>
      <c r="D54" s="613"/>
      <c r="E54" s="216"/>
      <c r="F54" s="210"/>
      <c r="G54" s="207"/>
      <c r="H54" s="210"/>
      <c r="I54" s="23">
        <v>10.75</v>
      </c>
      <c r="J54" s="31">
        <v>2750</v>
      </c>
      <c r="K54" s="12">
        <f t="shared" si="1"/>
        <v>255.81395348837211</v>
      </c>
      <c r="L54" s="23">
        <v>10.75</v>
      </c>
      <c r="M54" s="13">
        <f>AVERAGE(M50:M53)</f>
        <v>2624.9749213217942</v>
      </c>
      <c r="N54" s="12">
        <f t="shared" si="3"/>
        <v>244.18371361132969</v>
      </c>
      <c r="O54" s="14">
        <f t="shared" si="4"/>
        <v>0</v>
      </c>
      <c r="P54" s="15">
        <f t="shared" si="5"/>
        <v>-11.630239877042413</v>
      </c>
      <c r="Q54" s="206">
        <f t="shared" si="6"/>
        <v>0.95453633502610691</v>
      </c>
      <c r="R54" s="637"/>
      <c r="S54" s="34"/>
      <c r="T54" s="34"/>
      <c r="U54" s="207"/>
      <c r="V54" s="208"/>
      <c r="W54" s="16"/>
      <c r="X54" s="16"/>
      <c r="Y54" s="24">
        <f>SUM(Y50:Y53)</f>
        <v>0</v>
      </c>
      <c r="Z54" s="24">
        <f>SUM(Z50:Z53)</f>
        <v>0</v>
      </c>
      <c r="AA54" s="628"/>
      <c r="AB54" s="629"/>
      <c r="AC54" s="24">
        <v>4</v>
      </c>
      <c r="AD54" s="24">
        <f>SUM(AD50:AD53)</f>
        <v>0</v>
      </c>
      <c r="AE54" s="14">
        <f t="shared" si="8"/>
        <v>-125.02507867820577</v>
      </c>
      <c r="AF54" s="206">
        <f t="shared" si="9"/>
        <v>0.95453633502610702</v>
      </c>
      <c r="AG54" s="637"/>
    </row>
    <row r="55" spans="1:33" ht="15.75" customHeight="1">
      <c r="A55" s="630" t="s">
        <v>837</v>
      </c>
      <c r="B55" s="29" t="s">
        <v>19</v>
      </c>
      <c r="C55" s="616" t="s">
        <v>45</v>
      </c>
      <c r="D55" s="616"/>
      <c r="E55" s="29">
        <v>46</v>
      </c>
      <c r="F55" s="32">
        <v>2816</v>
      </c>
      <c r="G55" s="207">
        <f t="shared" ref="G55:G62" si="35">E55*F55</f>
        <v>129536</v>
      </c>
      <c r="H55" s="33" t="s">
        <v>57</v>
      </c>
      <c r="I55" s="205">
        <v>16</v>
      </c>
      <c r="J55" s="31">
        <v>2000</v>
      </c>
      <c r="K55" s="12">
        <f t="shared" si="1"/>
        <v>125</v>
      </c>
      <c r="L55" s="205">
        <v>16</v>
      </c>
      <c r="M55" s="13">
        <f t="shared" ref="M55" si="36">F55/V55*60</f>
        <v>1920.0000000000005</v>
      </c>
      <c r="N55" s="13">
        <f t="shared" si="3"/>
        <v>120.00000000000003</v>
      </c>
      <c r="O55" s="14">
        <f t="shared" si="4"/>
        <v>0</v>
      </c>
      <c r="P55" s="15">
        <f t="shared" si="5"/>
        <v>-4.9999999999999716</v>
      </c>
      <c r="Q55" s="206">
        <f t="shared" si="6"/>
        <v>0.96000000000000019</v>
      </c>
      <c r="R55" s="615">
        <f>Q63</f>
        <v>0.9582917564214074</v>
      </c>
      <c r="S55" s="34">
        <v>0.20833333333333334</v>
      </c>
      <c r="T55" s="34">
        <v>0.26944444444444443</v>
      </c>
      <c r="U55" s="21"/>
      <c r="V55" s="208">
        <f t="shared" ref="V55:V62" si="37">(T55-S55)*24*60</f>
        <v>87.999999999999972</v>
      </c>
      <c r="W55" s="21"/>
      <c r="X55" s="21"/>
      <c r="Y55" s="21"/>
      <c r="Z55" s="21"/>
      <c r="AA55" s="617"/>
      <c r="AB55" s="617"/>
      <c r="AC55" s="35">
        <v>8</v>
      </c>
      <c r="AD55" s="18"/>
      <c r="AE55" s="14">
        <f t="shared" si="8"/>
        <v>-79.999999999999545</v>
      </c>
      <c r="AF55" s="206">
        <f t="shared" si="9"/>
        <v>0.96000000000000019</v>
      </c>
      <c r="AG55" s="615">
        <f>AF63</f>
        <v>0.9582917564214074</v>
      </c>
    </row>
    <row r="56" spans="1:33" ht="15.75" customHeight="1">
      <c r="A56" s="630" t="s">
        <v>838</v>
      </c>
      <c r="B56" s="29" t="s">
        <v>19</v>
      </c>
      <c r="C56" s="616" t="s">
        <v>81</v>
      </c>
      <c r="D56" s="616"/>
      <c r="E56" s="29">
        <v>46</v>
      </c>
      <c r="F56" s="32">
        <v>3900</v>
      </c>
      <c r="G56" s="207">
        <f t="shared" si="35"/>
        <v>179400</v>
      </c>
      <c r="H56" s="33" t="s">
        <v>57</v>
      </c>
      <c r="I56" s="205">
        <v>16</v>
      </c>
      <c r="J56" s="31">
        <v>2000</v>
      </c>
      <c r="K56" s="12">
        <f t="shared" si="1"/>
        <v>125</v>
      </c>
      <c r="L56" s="205">
        <v>16</v>
      </c>
      <c r="M56" s="13">
        <f>F56/V56*60</f>
        <v>1918.0327868852464</v>
      </c>
      <c r="N56" s="13">
        <f t="shared" si="3"/>
        <v>119.8770491803279</v>
      </c>
      <c r="O56" s="14">
        <f t="shared" si="4"/>
        <v>0</v>
      </c>
      <c r="P56" s="15">
        <f t="shared" si="5"/>
        <v>-5.1229508196720985</v>
      </c>
      <c r="Q56" s="206">
        <f t="shared" si="6"/>
        <v>0.95901639344262324</v>
      </c>
      <c r="R56" s="615"/>
      <c r="S56" s="34">
        <v>0.27361111111111108</v>
      </c>
      <c r="T56" s="34">
        <v>0.35833333333333328</v>
      </c>
      <c r="U56" s="207">
        <f t="shared" ref="U56:U62" si="38">IF(S56=TIME(17,0,0),"",(S56-T55)*24*60)</f>
        <v>5.9999999999999787</v>
      </c>
      <c r="V56" s="208">
        <f t="shared" si="37"/>
        <v>121.99999999999997</v>
      </c>
      <c r="W56" s="16"/>
      <c r="X56" s="16"/>
      <c r="Y56" s="16"/>
      <c r="Z56" s="16"/>
      <c r="AA56" s="617"/>
      <c r="AB56" s="617"/>
      <c r="AC56" s="35"/>
      <c r="AD56" s="18"/>
      <c r="AE56" s="14">
        <f t="shared" si="8"/>
        <v>-81.967213114753577</v>
      </c>
      <c r="AF56" s="206">
        <f t="shared" si="9"/>
        <v>0.95901639344262324</v>
      </c>
      <c r="AG56" s="615"/>
    </row>
    <row r="57" spans="1:33" ht="15.75" customHeight="1">
      <c r="A57" s="630" t="s">
        <v>839</v>
      </c>
      <c r="B57" s="29" t="s">
        <v>15</v>
      </c>
      <c r="C57" s="622" t="s">
        <v>47</v>
      </c>
      <c r="D57" s="623"/>
      <c r="E57" s="29">
        <v>51.75</v>
      </c>
      <c r="F57" s="32">
        <v>1004</v>
      </c>
      <c r="G57" s="207">
        <f t="shared" si="35"/>
        <v>51957</v>
      </c>
      <c r="H57" s="33" t="s">
        <v>57</v>
      </c>
      <c r="I57" s="205">
        <v>25</v>
      </c>
      <c r="J57" s="31">
        <v>2000</v>
      </c>
      <c r="K57" s="12">
        <f t="shared" si="1"/>
        <v>80</v>
      </c>
      <c r="L57" s="205">
        <v>25</v>
      </c>
      <c r="M57" s="13">
        <f t="shared" ref="M57:M62" si="39">F57/V57*60</f>
        <v>1943.2258064516147</v>
      </c>
      <c r="N57" s="13">
        <f t="shared" si="3"/>
        <v>77.729032258064592</v>
      </c>
      <c r="O57" s="14">
        <f t="shared" si="4"/>
        <v>0</v>
      </c>
      <c r="P57" s="15">
        <f t="shared" si="5"/>
        <v>-2.270967741935408</v>
      </c>
      <c r="Q57" s="206">
        <f t="shared" si="6"/>
        <v>0.9716129032258074</v>
      </c>
      <c r="R57" s="615"/>
      <c r="S57" s="34">
        <v>0.36180555555555549</v>
      </c>
      <c r="T57" s="34">
        <v>0.38333333333333325</v>
      </c>
      <c r="U57" s="207">
        <f t="shared" si="38"/>
        <v>4.9999999999999822</v>
      </c>
      <c r="V57" s="208">
        <f t="shared" si="37"/>
        <v>30.999999999999972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-56.774193548385256</v>
      </c>
      <c r="AF57" s="206">
        <f t="shared" si="9"/>
        <v>0.9716129032258074</v>
      </c>
      <c r="AG57" s="615"/>
    </row>
    <row r="58" spans="1:33" ht="15.75" customHeight="1">
      <c r="A58" s="630" t="s">
        <v>840</v>
      </c>
      <c r="B58" s="29" t="s">
        <v>15</v>
      </c>
      <c r="C58" s="214" t="s">
        <v>46</v>
      </c>
      <c r="D58" s="215"/>
      <c r="E58" s="29">
        <v>56.43</v>
      </c>
      <c r="F58" s="32">
        <v>1881</v>
      </c>
      <c r="G58" s="207">
        <f t="shared" si="35"/>
        <v>106144.83</v>
      </c>
      <c r="H58" s="33" t="s">
        <v>57</v>
      </c>
      <c r="I58" s="205">
        <v>22</v>
      </c>
      <c r="J58" s="31">
        <v>2000</v>
      </c>
      <c r="K58" s="12">
        <f t="shared" si="1"/>
        <v>90.909090909090907</v>
      </c>
      <c r="L58" s="205">
        <v>22</v>
      </c>
      <c r="M58" s="13">
        <f t="shared" si="39"/>
        <v>1912.8813559322025</v>
      </c>
      <c r="N58" s="13">
        <f t="shared" si="3"/>
        <v>86.949152542372843</v>
      </c>
      <c r="O58" s="14">
        <f t="shared" si="4"/>
        <v>0</v>
      </c>
      <c r="P58" s="15">
        <f t="shared" si="5"/>
        <v>-3.9599383667180632</v>
      </c>
      <c r="Q58" s="206">
        <f t="shared" si="6"/>
        <v>0.95644067796610133</v>
      </c>
      <c r="R58" s="615"/>
      <c r="S58" s="34">
        <v>0.38819444444444434</v>
      </c>
      <c r="T58" s="34">
        <v>0.42916666666666659</v>
      </c>
      <c r="U58" s="207">
        <f t="shared" si="38"/>
        <v>6.9999999999999751</v>
      </c>
      <c r="V58" s="208">
        <f t="shared" si="37"/>
        <v>59.000000000000028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-87.118644067797504</v>
      </c>
      <c r="AF58" s="206">
        <f t="shared" si="9"/>
        <v>0.95644067796610122</v>
      </c>
      <c r="AG58" s="615"/>
    </row>
    <row r="59" spans="1:33" ht="15.75" customHeight="1">
      <c r="A59" s="630" t="s">
        <v>840</v>
      </c>
      <c r="B59" s="29" t="s">
        <v>15</v>
      </c>
      <c r="C59" s="214" t="s">
        <v>27</v>
      </c>
      <c r="D59" s="215"/>
      <c r="E59" s="29">
        <v>59.04</v>
      </c>
      <c r="F59" s="32">
        <v>3647</v>
      </c>
      <c r="G59" s="207">
        <f t="shared" si="35"/>
        <v>215318.88</v>
      </c>
      <c r="H59" s="33" t="s">
        <v>57</v>
      </c>
      <c r="I59" s="205">
        <v>19</v>
      </c>
      <c r="J59" s="31">
        <v>2000</v>
      </c>
      <c r="K59" s="12">
        <f t="shared" si="1"/>
        <v>105.26315789473684</v>
      </c>
      <c r="L59" s="205">
        <v>19</v>
      </c>
      <c r="M59" s="13">
        <f t="shared" si="39"/>
        <v>1902.7826086956511</v>
      </c>
      <c r="N59" s="13">
        <f t="shared" si="3"/>
        <v>100.1464530892448</v>
      </c>
      <c r="O59" s="14">
        <f t="shared" si="4"/>
        <v>0</v>
      </c>
      <c r="P59" s="15">
        <f t="shared" si="5"/>
        <v>-5.1167048054920343</v>
      </c>
      <c r="Q59" s="206">
        <f t="shared" si="6"/>
        <v>0.95139130434782571</v>
      </c>
      <c r="R59" s="615"/>
      <c r="S59" s="34">
        <v>0.43402777777777768</v>
      </c>
      <c r="T59" s="34">
        <v>0.51388888888888884</v>
      </c>
      <c r="U59" s="207">
        <f t="shared" si="38"/>
        <v>6.9999999999999751</v>
      </c>
      <c r="V59" s="208">
        <f t="shared" si="37"/>
        <v>115.00000000000007</v>
      </c>
      <c r="W59" s="16"/>
      <c r="X59" s="16"/>
      <c r="Y59" s="19"/>
      <c r="Z59" s="19"/>
      <c r="AA59" s="617"/>
      <c r="AB59" s="617"/>
      <c r="AC59" s="35"/>
      <c r="AD59" s="18"/>
      <c r="AE59" s="14">
        <f t="shared" si="8"/>
        <v>-97.217391304348894</v>
      </c>
      <c r="AF59" s="206">
        <f t="shared" si="9"/>
        <v>0.95139130434782559</v>
      </c>
      <c r="AG59" s="615"/>
    </row>
    <row r="60" spans="1:33" ht="15.75" customHeight="1">
      <c r="A60" s="630" t="s">
        <v>840</v>
      </c>
      <c r="B60" s="29" t="s">
        <v>15</v>
      </c>
      <c r="C60" s="622" t="s">
        <v>48</v>
      </c>
      <c r="D60" s="623"/>
      <c r="E60" s="29">
        <v>55.56</v>
      </c>
      <c r="F60" s="32">
        <v>2959</v>
      </c>
      <c r="G60" s="207">
        <f t="shared" si="35"/>
        <v>164402.04</v>
      </c>
      <c r="H60" s="33" t="s">
        <v>57</v>
      </c>
      <c r="I60" s="205">
        <v>17</v>
      </c>
      <c r="J60" s="31">
        <v>2000</v>
      </c>
      <c r="K60" s="12">
        <f t="shared" si="1"/>
        <v>117.64705882352941</v>
      </c>
      <c r="L60" s="205">
        <v>17</v>
      </c>
      <c r="M60" s="13">
        <f t="shared" si="39"/>
        <v>1909.0322580645166</v>
      </c>
      <c r="N60" s="13">
        <f t="shared" si="3"/>
        <v>112.29601518026568</v>
      </c>
      <c r="O60" s="14">
        <f t="shared" si="4"/>
        <v>0</v>
      </c>
      <c r="P60" s="15">
        <f t="shared" si="5"/>
        <v>-5.3510436432637221</v>
      </c>
      <c r="Q60" s="206">
        <f t="shared" si="6"/>
        <v>0.95451612903225835</v>
      </c>
      <c r="R60" s="615"/>
      <c r="S60" s="34">
        <v>0.70833333333333337</v>
      </c>
      <c r="T60" s="34">
        <v>0.7729166666666667</v>
      </c>
      <c r="U60" s="207" t="str">
        <f t="shared" si="38"/>
        <v/>
      </c>
      <c r="V60" s="208">
        <f t="shared" si="37"/>
        <v>92.999999999999986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-90.967741935483446</v>
      </c>
      <c r="AF60" s="206">
        <f t="shared" si="9"/>
        <v>0.95451612903225824</v>
      </c>
      <c r="AG60" s="615"/>
    </row>
    <row r="61" spans="1:33" ht="15.75" customHeight="1">
      <c r="A61" s="630" t="s">
        <v>840</v>
      </c>
      <c r="B61" s="29" t="s">
        <v>15</v>
      </c>
      <c r="C61" s="622" t="s">
        <v>841</v>
      </c>
      <c r="D61" s="623"/>
      <c r="E61" s="29">
        <v>54.09</v>
      </c>
      <c r="F61" s="32">
        <v>2500</v>
      </c>
      <c r="G61" s="207">
        <f t="shared" si="35"/>
        <v>135225</v>
      </c>
      <c r="H61" s="33">
        <v>2</v>
      </c>
      <c r="I61" s="205">
        <v>13</v>
      </c>
      <c r="J61" s="31">
        <v>2000</v>
      </c>
      <c r="K61" s="12">
        <f t="shared" si="1"/>
        <v>153.84615384615384</v>
      </c>
      <c r="L61" s="205">
        <v>13</v>
      </c>
      <c r="M61" s="13">
        <f t="shared" si="39"/>
        <v>1923.0769230769222</v>
      </c>
      <c r="N61" s="13">
        <f t="shared" si="3"/>
        <v>147.92899408284018</v>
      </c>
      <c r="O61" s="14">
        <f t="shared" si="4"/>
        <v>0</v>
      </c>
      <c r="P61" s="15">
        <f t="shared" si="5"/>
        <v>-5.9171597633136628</v>
      </c>
      <c r="Q61" s="206">
        <f t="shared" si="6"/>
        <v>0.96153846153846123</v>
      </c>
      <c r="R61" s="615"/>
      <c r="S61" s="34">
        <v>0.77847222222222223</v>
      </c>
      <c r="T61" s="34">
        <v>0.83263888888888893</v>
      </c>
      <c r="U61" s="207">
        <f t="shared" si="38"/>
        <v>7.9999999999999716</v>
      </c>
      <c r="V61" s="208">
        <f t="shared" si="37"/>
        <v>78.000000000000043</v>
      </c>
      <c r="W61" s="16">
        <f>T61</f>
        <v>0.83263888888888893</v>
      </c>
      <c r="X61" s="16">
        <f>S62</f>
        <v>0.87291666666666667</v>
      </c>
      <c r="Y61" s="19"/>
      <c r="Z61" s="19"/>
      <c r="AA61" s="624"/>
      <c r="AB61" s="625"/>
      <c r="AC61" s="35"/>
      <c r="AD61" s="18"/>
      <c r="AE61" s="14">
        <f t="shared" si="8"/>
        <v>-76.923076923077815</v>
      </c>
      <c r="AF61" s="206">
        <f t="shared" si="9"/>
        <v>0.96153846153846112</v>
      </c>
      <c r="AG61" s="615"/>
    </row>
    <row r="62" spans="1:33" ht="15.75" customHeight="1">
      <c r="A62" s="630" t="s">
        <v>842</v>
      </c>
      <c r="B62" s="29" t="s">
        <v>15</v>
      </c>
      <c r="C62" s="622" t="s">
        <v>841</v>
      </c>
      <c r="D62" s="623"/>
      <c r="E62" s="29">
        <v>54.09</v>
      </c>
      <c r="F62" s="32">
        <v>3141</v>
      </c>
      <c r="G62" s="207">
        <f t="shared" si="35"/>
        <v>169896.69</v>
      </c>
      <c r="H62" s="33" t="s">
        <v>57</v>
      </c>
      <c r="I62" s="205">
        <v>13</v>
      </c>
      <c r="J62" s="31">
        <v>2000</v>
      </c>
      <c r="K62" s="12">
        <f t="shared" si="1"/>
        <v>153.84615384615384</v>
      </c>
      <c r="L62" s="205">
        <v>13</v>
      </c>
      <c r="M62" s="13">
        <f t="shared" si="39"/>
        <v>1903.6363636363642</v>
      </c>
      <c r="N62" s="13">
        <f t="shared" si="3"/>
        <v>146.43356643356648</v>
      </c>
      <c r="O62" s="14">
        <f t="shared" si="4"/>
        <v>0</v>
      </c>
      <c r="P62" s="15">
        <f t="shared" si="5"/>
        <v>-7.4125874125873565</v>
      </c>
      <c r="Q62" s="206">
        <f t="shared" si="6"/>
        <v>0.95181818181818223</v>
      </c>
      <c r="R62" s="615"/>
      <c r="S62" s="34">
        <v>0.87291666666666667</v>
      </c>
      <c r="T62" s="34">
        <v>0.94166666666666665</v>
      </c>
      <c r="U62" s="207">
        <f t="shared" si="38"/>
        <v>57.999999999999957</v>
      </c>
      <c r="V62" s="208">
        <f t="shared" si="37"/>
        <v>98.999999999999972</v>
      </c>
      <c r="W62" s="16"/>
      <c r="X62" s="16"/>
      <c r="Y62" s="19"/>
      <c r="Z62" s="19"/>
      <c r="AA62" s="624"/>
      <c r="AB62" s="625"/>
      <c r="AC62" s="35"/>
      <c r="AD62" s="18"/>
      <c r="AE62" s="14">
        <f t="shared" si="8"/>
        <v>-96.363636363635806</v>
      </c>
      <c r="AF62" s="206">
        <f t="shared" si="9"/>
        <v>0.95181818181818212</v>
      </c>
      <c r="AG62" s="615"/>
    </row>
    <row r="63" spans="1:33">
      <c r="A63" s="631" t="s">
        <v>843</v>
      </c>
      <c r="B63" s="29" t="s">
        <v>844</v>
      </c>
      <c r="C63" s="618"/>
      <c r="D63" s="618"/>
      <c r="E63" s="213"/>
      <c r="F63" s="30"/>
      <c r="G63" s="12"/>
      <c r="H63" s="210"/>
      <c r="I63" s="23">
        <v>17.625</v>
      </c>
      <c r="J63" s="31">
        <v>2000</v>
      </c>
      <c r="K63" s="12">
        <f t="shared" si="1"/>
        <v>113.47517730496453</v>
      </c>
      <c r="L63" s="23">
        <v>17.625</v>
      </c>
      <c r="M63" s="13">
        <f>AVERAGE(M55:M62)</f>
        <v>1916.5835128428148</v>
      </c>
      <c r="N63" s="12">
        <f t="shared" si="3"/>
        <v>108.74232696980509</v>
      </c>
      <c r="O63" s="14">
        <f t="shared" si="4"/>
        <v>0</v>
      </c>
      <c r="P63" s="15">
        <f t="shared" si="5"/>
        <v>-4.7328503351594406</v>
      </c>
      <c r="Q63" s="206">
        <f t="shared" si="6"/>
        <v>0.9582917564214074</v>
      </c>
      <c r="R63" s="615"/>
      <c r="S63" s="34"/>
      <c r="T63" s="34"/>
      <c r="U63" s="207"/>
      <c r="V63" s="208"/>
      <c r="W63" s="12"/>
      <c r="X63" s="12"/>
      <c r="Y63" s="24">
        <f>SUM(Y55:Y62)</f>
        <v>0</v>
      </c>
      <c r="Z63" s="24">
        <f>SUM(Z55:Z62)</f>
        <v>0</v>
      </c>
      <c r="AA63" s="614"/>
      <c r="AB63" s="614"/>
      <c r="AC63" s="24">
        <v>8</v>
      </c>
      <c r="AD63" s="24">
        <f>SUM(AD55:AD62)</f>
        <v>0</v>
      </c>
      <c r="AE63" s="14">
        <f>M63-J63</f>
        <v>-83.416487157185202</v>
      </c>
      <c r="AF63" s="206">
        <f t="shared" si="9"/>
        <v>0.9582917564214074</v>
      </c>
      <c r="AG63" s="615"/>
    </row>
    <row r="64" spans="1:33" ht="15.75" customHeight="1">
      <c r="A64" s="626" t="s">
        <v>845</v>
      </c>
      <c r="B64" s="210" t="s">
        <v>40</v>
      </c>
      <c r="C64" s="616" t="s">
        <v>49</v>
      </c>
      <c r="D64" s="616"/>
      <c r="E64" s="29">
        <v>34.36</v>
      </c>
      <c r="F64" s="32">
        <v>2629</v>
      </c>
      <c r="G64" s="207">
        <f t="shared" ref="G64:G68" si="40">E64*F64</f>
        <v>90332.44</v>
      </c>
      <c r="H64" s="33" t="s">
        <v>57</v>
      </c>
      <c r="I64" s="205">
        <v>10</v>
      </c>
      <c r="J64" s="31">
        <v>3000</v>
      </c>
      <c r="K64" s="12">
        <f t="shared" si="1"/>
        <v>300</v>
      </c>
      <c r="L64" s="205">
        <v>10</v>
      </c>
      <c r="M64" s="13">
        <f t="shared" ref="M64:M68" si="41">F64/V64*60</f>
        <v>2868</v>
      </c>
      <c r="N64" s="12">
        <f t="shared" si="3"/>
        <v>286.8</v>
      </c>
      <c r="O64" s="14">
        <f t="shared" si="4"/>
        <v>0</v>
      </c>
      <c r="P64" s="15">
        <f t="shared" si="5"/>
        <v>-13.199999999999989</v>
      </c>
      <c r="Q64" s="206">
        <f t="shared" si="6"/>
        <v>0.95600000000000007</v>
      </c>
      <c r="R64" s="615">
        <f>Q69</f>
        <v>0.96027017507794565</v>
      </c>
      <c r="S64" s="34">
        <v>0.20833333333333334</v>
      </c>
      <c r="T64" s="34">
        <v>0.24652777777777779</v>
      </c>
      <c r="U64" s="207"/>
      <c r="V64" s="208">
        <f t="shared" ref="V64:V68" si="42">(T64-S64)*24*60</f>
        <v>55.000000000000007</v>
      </c>
      <c r="W64" s="21"/>
      <c r="X64" s="21"/>
      <c r="Y64" s="21"/>
      <c r="Z64" s="21"/>
      <c r="AA64" s="617"/>
      <c r="AB64" s="617"/>
      <c r="AC64" s="35">
        <v>5</v>
      </c>
      <c r="AD64" s="18"/>
      <c r="AE64" s="14">
        <f t="shared" ref="AE64:AE77" si="43">M64-J64</f>
        <v>-132</v>
      </c>
      <c r="AF64" s="206">
        <f t="shared" si="9"/>
        <v>0.95599999999999996</v>
      </c>
      <c r="AG64" s="615">
        <f>AF69</f>
        <v>0.96027017507794565</v>
      </c>
    </row>
    <row r="65" spans="1:33" ht="15.75" customHeight="1">
      <c r="A65" s="626" t="s">
        <v>845</v>
      </c>
      <c r="B65" s="210" t="s">
        <v>40</v>
      </c>
      <c r="C65" s="616" t="s">
        <v>50</v>
      </c>
      <c r="D65" s="616"/>
      <c r="E65" s="29">
        <v>34.36</v>
      </c>
      <c r="F65" s="32">
        <v>1300</v>
      </c>
      <c r="G65" s="207">
        <f t="shared" si="40"/>
        <v>44668</v>
      </c>
      <c r="H65" s="33" t="s">
        <v>57</v>
      </c>
      <c r="I65" s="205">
        <v>10</v>
      </c>
      <c r="J65" s="31">
        <v>3000</v>
      </c>
      <c r="K65" s="12">
        <f t="shared" si="1"/>
        <v>300</v>
      </c>
      <c r="L65" s="205">
        <v>10</v>
      </c>
      <c r="M65" s="13">
        <f t="shared" si="41"/>
        <v>2888.8888888888905</v>
      </c>
      <c r="N65" s="12">
        <f t="shared" si="3"/>
        <v>288.88888888888903</v>
      </c>
      <c r="O65" s="14">
        <f t="shared" si="4"/>
        <v>0</v>
      </c>
      <c r="P65" s="15">
        <f t="shared" si="5"/>
        <v>-11.111111111110972</v>
      </c>
      <c r="Q65" s="206">
        <f t="shared" si="6"/>
        <v>0.96296296296296346</v>
      </c>
      <c r="R65" s="615"/>
      <c r="S65" s="34">
        <v>0.25069444444444444</v>
      </c>
      <c r="T65" s="34">
        <v>0.26944444444444443</v>
      </c>
      <c r="U65" s="207">
        <f t="shared" ref="U65:U68" si="44">(S65-T64)*24*60</f>
        <v>5.9999999999999787</v>
      </c>
      <c r="V65" s="208">
        <f t="shared" si="42"/>
        <v>26.999999999999986</v>
      </c>
      <c r="W65" s="207"/>
      <c r="X65" s="207"/>
      <c r="Y65" s="207"/>
      <c r="Z65" s="207"/>
      <c r="AA65" s="617"/>
      <c r="AB65" s="617"/>
      <c r="AC65" s="35"/>
      <c r="AD65" s="18"/>
      <c r="AE65" s="14">
        <f t="shared" si="43"/>
        <v>-111.11111111110949</v>
      </c>
      <c r="AF65" s="206">
        <f t="shared" si="9"/>
        <v>0.96296296296296346</v>
      </c>
      <c r="AG65" s="615"/>
    </row>
    <row r="66" spans="1:33" ht="15.75" customHeight="1">
      <c r="A66" s="626" t="s">
        <v>845</v>
      </c>
      <c r="B66" s="210" t="s">
        <v>40</v>
      </c>
      <c r="C66" s="616" t="s">
        <v>51</v>
      </c>
      <c r="D66" s="616"/>
      <c r="E66" s="29">
        <v>26.78</v>
      </c>
      <c r="F66" s="32">
        <v>2884</v>
      </c>
      <c r="G66" s="207">
        <f t="shared" si="40"/>
        <v>77233.52</v>
      </c>
      <c r="H66" s="33" t="s">
        <v>57</v>
      </c>
      <c r="I66" s="205">
        <v>10</v>
      </c>
      <c r="J66" s="31">
        <v>3000</v>
      </c>
      <c r="K66" s="12">
        <f t="shared" si="1"/>
        <v>300</v>
      </c>
      <c r="L66" s="205">
        <v>10</v>
      </c>
      <c r="M66" s="13">
        <f t="shared" si="41"/>
        <v>2883.9999999999986</v>
      </c>
      <c r="N66" s="12">
        <f t="shared" si="3"/>
        <v>288.39999999999986</v>
      </c>
      <c r="O66" s="14">
        <f t="shared" si="4"/>
        <v>0</v>
      </c>
      <c r="P66" s="15">
        <f t="shared" si="5"/>
        <v>-11.600000000000136</v>
      </c>
      <c r="Q66" s="206">
        <f t="shared" si="6"/>
        <v>0.96133333333333293</v>
      </c>
      <c r="R66" s="615"/>
      <c r="S66" s="34">
        <v>0.27291666666666664</v>
      </c>
      <c r="T66" s="34">
        <v>0.31458333333333333</v>
      </c>
      <c r="U66" s="207">
        <f t="shared" si="44"/>
        <v>4.9999999999999822</v>
      </c>
      <c r="V66" s="208">
        <f t="shared" si="42"/>
        <v>60.000000000000028</v>
      </c>
      <c r="W66" s="207"/>
      <c r="X66" s="207"/>
      <c r="Y66" s="207"/>
      <c r="Z66" s="207"/>
      <c r="AA66" s="617"/>
      <c r="AB66" s="617"/>
      <c r="AC66" s="35"/>
      <c r="AD66" s="18"/>
      <c r="AE66" s="14">
        <f t="shared" si="43"/>
        <v>-116.00000000000136</v>
      </c>
      <c r="AF66" s="206">
        <f t="shared" si="9"/>
        <v>0.96133333333333293</v>
      </c>
      <c r="AG66" s="615"/>
    </row>
    <row r="67" spans="1:33" ht="15.75" customHeight="1">
      <c r="A67" s="626" t="s">
        <v>845</v>
      </c>
      <c r="B67" s="210" t="s">
        <v>40</v>
      </c>
      <c r="C67" s="616" t="s">
        <v>52</v>
      </c>
      <c r="D67" s="616"/>
      <c r="E67" s="29">
        <v>35.869999999999997</v>
      </c>
      <c r="F67" s="32">
        <v>4472</v>
      </c>
      <c r="G67" s="207">
        <f t="shared" si="40"/>
        <v>160410.63999999998</v>
      </c>
      <c r="H67" s="33" t="s">
        <v>57</v>
      </c>
      <c r="I67" s="205">
        <v>9</v>
      </c>
      <c r="J67" s="31">
        <v>3000</v>
      </c>
      <c r="K67" s="12">
        <f t="shared" si="1"/>
        <v>333.33333333333331</v>
      </c>
      <c r="L67" s="205">
        <v>9</v>
      </c>
      <c r="M67" s="13">
        <f t="shared" si="41"/>
        <v>2854.4680851063831</v>
      </c>
      <c r="N67" s="12">
        <f t="shared" si="3"/>
        <v>317.16312056737593</v>
      </c>
      <c r="O67" s="14">
        <f t="shared" si="4"/>
        <v>0</v>
      </c>
      <c r="P67" s="15">
        <f t="shared" si="5"/>
        <v>-16.170212765957388</v>
      </c>
      <c r="Q67" s="206">
        <f t="shared" si="6"/>
        <v>0.95148936170212783</v>
      </c>
      <c r="R67" s="615"/>
      <c r="S67" s="34">
        <v>0.31874999999999998</v>
      </c>
      <c r="T67" s="34">
        <v>0.38402777777777775</v>
      </c>
      <c r="U67" s="207">
        <f t="shared" si="44"/>
        <v>5.9999999999999787</v>
      </c>
      <c r="V67" s="208">
        <f t="shared" si="42"/>
        <v>93.999999999999986</v>
      </c>
      <c r="W67" s="207"/>
      <c r="X67" s="207"/>
      <c r="Y67" s="207"/>
      <c r="Z67" s="207"/>
      <c r="AA67" s="617"/>
      <c r="AB67" s="617"/>
      <c r="AC67" s="35"/>
      <c r="AD67" s="18"/>
      <c r="AE67" s="14">
        <f t="shared" si="43"/>
        <v>-145.53191489361689</v>
      </c>
      <c r="AF67" s="206">
        <f t="shared" si="9"/>
        <v>0.95148936170212772</v>
      </c>
      <c r="AG67" s="615"/>
    </row>
    <row r="68" spans="1:33">
      <c r="A68" s="627" t="s">
        <v>845</v>
      </c>
      <c r="B68" s="210" t="s">
        <v>40</v>
      </c>
      <c r="C68" s="616" t="s">
        <v>53</v>
      </c>
      <c r="D68" s="616"/>
      <c r="E68" s="29">
        <v>34.35</v>
      </c>
      <c r="F68" s="32">
        <v>2230</v>
      </c>
      <c r="G68" s="207">
        <f t="shared" si="40"/>
        <v>76600.5</v>
      </c>
      <c r="H68" s="33" t="s">
        <v>57</v>
      </c>
      <c r="I68" s="205">
        <v>8</v>
      </c>
      <c r="J68" s="31">
        <v>3000</v>
      </c>
      <c r="K68" s="12">
        <f t="shared" si="1"/>
        <v>375</v>
      </c>
      <c r="L68" s="205">
        <v>8</v>
      </c>
      <c r="M68" s="13">
        <f t="shared" si="41"/>
        <v>2908.695652173913</v>
      </c>
      <c r="N68" s="12">
        <f t="shared" si="3"/>
        <v>363.58695652173913</v>
      </c>
      <c r="O68" s="14">
        <f t="shared" si="4"/>
        <v>0</v>
      </c>
      <c r="P68" s="15">
        <f t="shared" si="5"/>
        <v>-11.413043478260875</v>
      </c>
      <c r="Q68" s="206">
        <f t="shared" si="6"/>
        <v>0.9695652173913043</v>
      </c>
      <c r="R68" s="615"/>
      <c r="S68" s="34">
        <v>0.38749999999999996</v>
      </c>
      <c r="T68" s="34">
        <v>0.4194444444444444</v>
      </c>
      <c r="U68" s="207">
        <f t="shared" si="44"/>
        <v>4.9999999999999822</v>
      </c>
      <c r="V68" s="208">
        <f t="shared" si="42"/>
        <v>46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-91.304347826086996</v>
      </c>
      <c r="AF68" s="206">
        <f t="shared" si="9"/>
        <v>0.9695652173913043</v>
      </c>
      <c r="AG68" s="615"/>
    </row>
    <row r="69" spans="1:33">
      <c r="A69" s="627" t="s">
        <v>845</v>
      </c>
      <c r="B69" s="29" t="s">
        <v>6</v>
      </c>
      <c r="C69" s="618"/>
      <c r="D69" s="618"/>
      <c r="E69" s="213"/>
      <c r="F69" s="30"/>
      <c r="G69" s="12"/>
      <c r="H69" s="210"/>
      <c r="I69" s="23">
        <v>9.4</v>
      </c>
      <c r="J69" s="31">
        <v>3000</v>
      </c>
      <c r="K69" s="12">
        <f t="shared" ref="K69:K77" si="45">J69/I69</f>
        <v>319.14893617021278</v>
      </c>
      <c r="L69" s="23">
        <v>9.4</v>
      </c>
      <c r="M69" s="13">
        <f>AVERAGE(M64:M68)</f>
        <v>2880.8105252338369</v>
      </c>
      <c r="N69" s="12">
        <f t="shared" ref="N69:N77" si="46">M69/L69</f>
        <v>306.46920481211032</v>
      </c>
      <c r="O69" s="14">
        <f t="shared" ref="O69:O77" si="47">L69-I69</f>
        <v>0</v>
      </c>
      <c r="P69" s="15">
        <f t="shared" ref="P69:P77" si="48">N69-K69</f>
        <v>-12.679731358102458</v>
      </c>
      <c r="Q69" s="206">
        <f t="shared" ref="Q69:Q77" si="49">N69/K69</f>
        <v>0.96027017507794565</v>
      </c>
      <c r="R69" s="615"/>
      <c r="S69" s="34"/>
      <c r="T69" s="34"/>
      <c r="U69" s="12"/>
      <c r="V69" s="208"/>
      <c r="W69" s="12"/>
      <c r="X69" s="12"/>
      <c r="Y69" s="24">
        <f>SUM(Y64:Y68)</f>
        <v>0</v>
      </c>
      <c r="Z69" s="24">
        <f>SUM(Z64:Z68)</f>
        <v>0</v>
      </c>
      <c r="AA69" s="614"/>
      <c r="AB69" s="614"/>
      <c r="AC69" s="24">
        <v>5</v>
      </c>
      <c r="AD69" s="24">
        <f>SUM(AD64:AD68)</f>
        <v>0</v>
      </c>
      <c r="AE69" s="14">
        <f t="shared" si="43"/>
        <v>-119.18947476616313</v>
      </c>
      <c r="AF69" s="206">
        <f t="shared" ref="AF69:AF77" si="50">M69/J69</f>
        <v>0.96027017507794565</v>
      </c>
      <c r="AG69" s="615"/>
    </row>
    <row r="70" spans="1:33" ht="15.75" customHeight="1">
      <c r="A70" s="619" t="s">
        <v>846</v>
      </c>
      <c r="B70" s="210" t="s">
        <v>32</v>
      </c>
      <c r="C70" s="616" t="s">
        <v>56</v>
      </c>
      <c r="D70" s="616"/>
      <c r="E70" s="29">
        <v>19.02</v>
      </c>
      <c r="F70" s="210">
        <v>6100</v>
      </c>
      <c r="G70" s="207">
        <f t="shared" ref="G70:G76" si="51">E70*F70</f>
        <v>116022</v>
      </c>
      <c r="H70" s="33">
        <v>2</v>
      </c>
      <c r="I70" s="205">
        <v>14</v>
      </c>
      <c r="J70" s="31">
        <v>2400</v>
      </c>
      <c r="K70" s="12">
        <f t="shared" si="45"/>
        <v>171.42857142857142</v>
      </c>
      <c r="L70" s="205">
        <v>14</v>
      </c>
      <c r="M70" s="13">
        <f t="shared" ref="M70:M76" si="52">F70/V70*60</f>
        <v>2287.5000000000005</v>
      </c>
      <c r="N70" s="12">
        <f t="shared" si="46"/>
        <v>163.39285714285717</v>
      </c>
      <c r="O70" s="14">
        <f t="shared" si="47"/>
        <v>0</v>
      </c>
      <c r="P70" s="15">
        <f t="shared" si="48"/>
        <v>-8.0357142857142492</v>
      </c>
      <c r="Q70" s="206">
        <f t="shared" si="49"/>
        <v>0.95312500000000022</v>
      </c>
      <c r="R70" s="615">
        <f>Q77</f>
        <v>0.95602360552567034</v>
      </c>
      <c r="S70" s="34">
        <v>8.3333333333333329E-2</v>
      </c>
      <c r="T70" s="34">
        <v>0.19444444444444442</v>
      </c>
      <c r="U70" s="21"/>
      <c r="V70" s="208">
        <f t="shared" ref="V70:V76" si="53">(T70-S70)*24*60</f>
        <v>159.99999999999997</v>
      </c>
      <c r="W70" s="16">
        <f>T70</f>
        <v>0.19444444444444442</v>
      </c>
      <c r="X70" s="16">
        <f>S71</f>
        <v>0.21388888888888885</v>
      </c>
      <c r="Y70" s="16"/>
      <c r="Z70" s="16"/>
      <c r="AA70" s="617"/>
      <c r="AB70" s="617"/>
      <c r="AC70" s="35">
        <v>7</v>
      </c>
      <c r="AD70" s="18"/>
      <c r="AE70" s="14">
        <f t="shared" si="43"/>
        <v>-112.49999999999955</v>
      </c>
      <c r="AF70" s="206">
        <f t="shared" si="50"/>
        <v>0.95312500000000022</v>
      </c>
      <c r="AG70" s="615">
        <f>AF77</f>
        <v>0.95602360552567045</v>
      </c>
    </row>
    <row r="71" spans="1:33" ht="15.75" customHeight="1">
      <c r="A71" s="620" t="s">
        <v>14</v>
      </c>
      <c r="B71" s="210" t="s">
        <v>32</v>
      </c>
      <c r="C71" s="616" t="s">
        <v>54</v>
      </c>
      <c r="D71" s="616"/>
      <c r="E71" s="29">
        <v>20.21</v>
      </c>
      <c r="F71" s="210">
        <v>3595</v>
      </c>
      <c r="G71" s="207">
        <f t="shared" si="51"/>
        <v>72654.95</v>
      </c>
      <c r="H71" s="33" t="s">
        <v>57</v>
      </c>
      <c r="I71" s="205">
        <v>15</v>
      </c>
      <c r="J71" s="31">
        <v>2400</v>
      </c>
      <c r="K71" s="12">
        <f t="shared" si="45"/>
        <v>160</v>
      </c>
      <c r="L71" s="205">
        <v>15</v>
      </c>
      <c r="M71" s="13">
        <f t="shared" si="52"/>
        <v>2294.6808510638302</v>
      </c>
      <c r="N71" s="12">
        <f t="shared" si="46"/>
        <v>152.97872340425536</v>
      </c>
      <c r="O71" s="14">
        <f t="shared" si="47"/>
        <v>0</v>
      </c>
      <c r="P71" s="15">
        <f t="shared" si="48"/>
        <v>-7.0212765957446379</v>
      </c>
      <c r="Q71" s="206">
        <f t="shared" si="49"/>
        <v>0.95611702127659604</v>
      </c>
      <c r="R71" s="615"/>
      <c r="S71" s="34">
        <v>0.21388888888888885</v>
      </c>
      <c r="T71" s="34">
        <v>0.27916666666666662</v>
      </c>
      <c r="U71" s="207">
        <f t="shared" ref="U71:U76" si="54">(S71-T70)*24*60</f>
        <v>27.999999999999979</v>
      </c>
      <c r="V71" s="208">
        <f t="shared" si="53"/>
        <v>93.999999999999986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-105.31914893616977</v>
      </c>
      <c r="AF71" s="206">
        <f t="shared" si="50"/>
        <v>0.95611702127659592</v>
      </c>
      <c r="AG71" s="615"/>
    </row>
    <row r="72" spans="1:33" ht="15.75" customHeight="1">
      <c r="A72" s="620" t="s">
        <v>14</v>
      </c>
      <c r="B72" s="210" t="s">
        <v>32</v>
      </c>
      <c r="C72" s="616" t="s">
        <v>84</v>
      </c>
      <c r="D72" s="616"/>
      <c r="E72" s="29">
        <v>20.21</v>
      </c>
      <c r="F72" s="210">
        <v>5053</v>
      </c>
      <c r="G72" s="207">
        <f t="shared" si="51"/>
        <v>102121.13</v>
      </c>
      <c r="H72" s="33" t="s">
        <v>57</v>
      </c>
      <c r="I72" s="205">
        <v>18</v>
      </c>
      <c r="J72" s="31">
        <v>2400</v>
      </c>
      <c r="K72" s="12">
        <f t="shared" si="45"/>
        <v>133.33333333333334</v>
      </c>
      <c r="L72" s="205">
        <v>18</v>
      </c>
      <c r="M72" s="13">
        <f t="shared" si="52"/>
        <v>2296.818181818182</v>
      </c>
      <c r="N72" s="12">
        <f t="shared" si="46"/>
        <v>127.6010101010101</v>
      </c>
      <c r="O72" s="14">
        <f t="shared" si="47"/>
        <v>0</v>
      </c>
      <c r="P72" s="15">
        <f t="shared" si="48"/>
        <v>-5.7323232323232389</v>
      </c>
      <c r="Q72" s="206">
        <f t="shared" si="49"/>
        <v>0.95700757575757567</v>
      </c>
      <c r="R72" s="615"/>
      <c r="S72" s="34">
        <v>0.28472222222222215</v>
      </c>
      <c r="T72" s="34">
        <v>0.37638888888888883</v>
      </c>
      <c r="U72" s="207">
        <f t="shared" si="54"/>
        <v>7.9999999999999716</v>
      </c>
      <c r="V72" s="208">
        <f t="shared" si="53"/>
        <v>132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-103.18181818181802</v>
      </c>
      <c r="AF72" s="206">
        <f t="shared" si="50"/>
        <v>0.95700757575757578</v>
      </c>
      <c r="AG72" s="615"/>
    </row>
    <row r="73" spans="1:33" ht="15.75" customHeight="1">
      <c r="A73" s="620" t="s">
        <v>847</v>
      </c>
      <c r="B73" s="210" t="s">
        <v>32</v>
      </c>
      <c r="C73" s="616" t="s">
        <v>36</v>
      </c>
      <c r="D73" s="616"/>
      <c r="E73" s="29">
        <v>20.36</v>
      </c>
      <c r="F73" s="210">
        <v>3100</v>
      </c>
      <c r="G73" s="207">
        <f t="shared" si="51"/>
        <v>63116</v>
      </c>
      <c r="H73" s="33">
        <v>2</v>
      </c>
      <c r="I73" s="205">
        <v>17</v>
      </c>
      <c r="J73" s="31">
        <v>2400</v>
      </c>
      <c r="K73" s="12">
        <f t="shared" si="45"/>
        <v>141.1764705882353</v>
      </c>
      <c r="L73" s="205">
        <v>17</v>
      </c>
      <c r="M73" s="13">
        <f t="shared" si="52"/>
        <v>2296.2962962962956</v>
      </c>
      <c r="N73" s="12">
        <f t="shared" si="46"/>
        <v>135.07625272331151</v>
      </c>
      <c r="O73" s="14">
        <f t="shared" si="47"/>
        <v>0</v>
      </c>
      <c r="P73" s="15">
        <f t="shared" si="48"/>
        <v>-6.1002178649237919</v>
      </c>
      <c r="Q73" s="206">
        <f t="shared" si="49"/>
        <v>0.95679012345678982</v>
      </c>
      <c r="R73" s="615"/>
      <c r="S73" s="34">
        <v>0.38124999999999992</v>
      </c>
      <c r="T73" s="34">
        <v>0.43749999999999994</v>
      </c>
      <c r="U73" s="207">
        <f t="shared" si="54"/>
        <v>6.9999999999999751</v>
      </c>
      <c r="V73" s="208">
        <f t="shared" si="53"/>
        <v>81.000000000000028</v>
      </c>
      <c r="W73" s="16"/>
      <c r="X73" s="16"/>
      <c r="Y73" s="16"/>
      <c r="Z73" s="16"/>
      <c r="AA73" s="617"/>
      <c r="AB73" s="617"/>
      <c r="AC73" s="35"/>
      <c r="AD73" s="18"/>
      <c r="AE73" s="14">
        <f t="shared" si="43"/>
        <v>-103.70370370370438</v>
      </c>
      <c r="AF73" s="206">
        <f t="shared" si="50"/>
        <v>0.95679012345678982</v>
      </c>
      <c r="AG73" s="615"/>
    </row>
    <row r="74" spans="1:33" ht="15.75" customHeight="1">
      <c r="A74" s="620" t="s">
        <v>848</v>
      </c>
      <c r="B74" s="210" t="s">
        <v>32</v>
      </c>
      <c r="C74" s="616" t="s">
        <v>55</v>
      </c>
      <c r="D74" s="616"/>
      <c r="E74" s="29">
        <v>22.69</v>
      </c>
      <c r="F74" s="210">
        <v>4110</v>
      </c>
      <c r="G74" s="207">
        <f t="shared" si="51"/>
        <v>93255.900000000009</v>
      </c>
      <c r="H74" s="33" t="s">
        <v>57</v>
      </c>
      <c r="I74" s="205">
        <v>15</v>
      </c>
      <c r="J74" s="31">
        <v>2400</v>
      </c>
      <c r="K74" s="12">
        <f t="shared" si="45"/>
        <v>160</v>
      </c>
      <c r="L74" s="205">
        <v>15</v>
      </c>
      <c r="M74" s="13">
        <f t="shared" si="52"/>
        <v>2304.6728971962611</v>
      </c>
      <c r="N74" s="12">
        <f t="shared" si="46"/>
        <v>153.64485981308408</v>
      </c>
      <c r="O74" s="14">
        <f t="shared" si="47"/>
        <v>0</v>
      </c>
      <c r="P74" s="15">
        <f t="shared" si="48"/>
        <v>-6.3551401869159179</v>
      </c>
      <c r="Q74" s="206">
        <f t="shared" si="49"/>
        <v>0.96028037383177556</v>
      </c>
      <c r="R74" s="615"/>
      <c r="S74" s="34">
        <v>0.44305555555555548</v>
      </c>
      <c r="T74" s="34">
        <v>0.51736111111111105</v>
      </c>
      <c r="U74" s="207">
        <f t="shared" si="54"/>
        <v>7.9999999999999716</v>
      </c>
      <c r="V74" s="208">
        <f t="shared" si="53"/>
        <v>107.00000000000001</v>
      </c>
      <c r="W74" s="16">
        <f>T74</f>
        <v>0.51736111111111105</v>
      </c>
      <c r="X74" s="16">
        <f>S75</f>
        <v>0.55833333333333324</v>
      </c>
      <c r="Y74" s="16"/>
      <c r="Z74" s="16"/>
      <c r="AA74" s="617"/>
      <c r="AB74" s="617"/>
      <c r="AC74" s="35"/>
      <c r="AD74" s="18"/>
      <c r="AE74" s="14">
        <f t="shared" si="43"/>
        <v>-95.327102803738853</v>
      </c>
      <c r="AF74" s="206">
        <f t="shared" si="50"/>
        <v>0.96028037383177545</v>
      </c>
      <c r="AG74" s="615"/>
    </row>
    <row r="75" spans="1:33" ht="15.75" customHeight="1">
      <c r="A75" s="620" t="s">
        <v>14</v>
      </c>
      <c r="B75" s="210" t="s">
        <v>32</v>
      </c>
      <c r="C75" s="616" t="s">
        <v>36</v>
      </c>
      <c r="D75" s="616"/>
      <c r="E75" s="29">
        <v>20.36</v>
      </c>
      <c r="F75" s="210">
        <v>2288</v>
      </c>
      <c r="G75" s="207">
        <f t="shared" si="51"/>
        <v>46583.68</v>
      </c>
      <c r="H75" s="33" t="s">
        <v>57</v>
      </c>
      <c r="I75" s="205">
        <v>17</v>
      </c>
      <c r="J75" s="31">
        <v>2400</v>
      </c>
      <c r="K75" s="12">
        <f t="shared" si="45"/>
        <v>141.1764705882353</v>
      </c>
      <c r="L75" s="205">
        <v>17</v>
      </c>
      <c r="M75" s="13">
        <f t="shared" si="52"/>
        <v>2288.0000000000023</v>
      </c>
      <c r="N75" s="12">
        <f t="shared" si="46"/>
        <v>134.58823529411779</v>
      </c>
      <c r="O75" s="14">
        <f t="shared" si="47"/>
        <v>0</v>
      </c>
      <c r="P75" s="15">
        <f t="shared" si="48"/>
        <v>-6.58823529411751</v>
      </c>
      <c r="Q75" s="206">
        <f t="shared" si="49"/>
        <v>0.95333333333333425</v>
      </c>
      <c r="R75" s="615"/>
      <c r="S75" s="34">
        <v>0.55833333333333324</v>
      </c>
      <c r="T75" s="34">
        <v>0.59999999999999987</v>
      </c>
      <c r="U75" s="207">
        <f t="shared" si="54"/>
        <v>58.99999999999995</v>
      </c>
      <c r="V75" s="208">
        <f t="shared" si="53"/>
        <v>59.999999999999943</v>
      </c>
      <c r="W75" s="16"/>
      <c r="X75" s="16"/>
      <c r="Y75" s="16"/>
      <c r="Z75" s="16"/>
      <c r="AA75" s="617"/>
      <c r="AB75" s="617"/>
      <c r="AC75" s="35"/>
      <c r="AD75" s="18"/>
      <c r="AE75" s="14">
        <f t="shared" si="43"/>
        <v>-111.99999999999773</v>
      </c>
      <c r="AF75" s="206">
        <f t="shared" si="50"/>
        <v>0.95333333333333425</v>
      </c>
      <c r="AG75" s="615"/>
    </row>
    <row r="76" spans="1:33" ht="15.75" customHeight="1">
      <c r="A76" s="620" t="s">
        <v>849</v>
      </c>
      <c r="B76" s="210" t="s">
        <v>32</v>
      </c>
      <c r="C76" s="622" t="s">
        <v>56</v>
      </c>
      <c r="D76" s="623"/>
      <c r="E76" s="29">
        <v>19.02</v>
      </c>
      <c r="F76" s="210">
        <v>4854</v>
      </c>
      <c r="G76" s="207">
        <f t="shared" si="51"/>
        <v>92323.08</v>
      </c>
      <c r="H76" s="33" t="s">
        <v>57</v>
      </c>
      <c r="I76" s="205">
        <v>14</v>
      </c>
      <c r="J76" s="31">
        <v>2400</v>
      </c>
      <c r="K76" s="12">
        <f t="shared" si="45"/>
        <v>171.42857142857142</v>
      </c>
      <c r="L76" s="205">
        <v>14</v>
      </c>
      <c r="M76" s="13">
        <f t="shared" si="52"/>
        <v>2293.2283464566926</v>
      </c>
      <c r="N76" s="12">
        <f t="shared" si="46"/>
        <v>163.80202474690662</v>
      </c>
      <c r="O76" s="14">
        <f t="shared" si="47"/>
        <v>0</v>
      </c>
      <c r="P76" s="15">
        <f t="shared" si="48"/>
        <v>-7.6265466816647915</v>
      </c>
      <c r="Q76" s="206">
        <f t="shared" si="49"/>
        <v>0.95551181102362204</v>
      </c>
      <c r="R76" s="615"/>
      <c r="S76" s="34">
        <v>0.60416666666666652</v>
      </c>
      <c r="T76" s="34">
        <v>0.69236111111111098</v>
      </c>
      <c r="U76" s="207">
        <f t="shared" si="54"/>
        <v>5.9999999999999787</v>
      </c>
      <c r="V76" s="208">
        <f t="shared" si="53"/>
        <v>127.00000000000003</v>
      </c>
      <c r="W76" s="16"/>
      <c r="X76" s="16"/>
      <c r="Y76" s="19"/>
      <c r="Z76" s="19"/>
      <c r="AA76" s="624"/>
      <c r="AB76" s="625"/>
      <c r="AC76" s="35"/>
      <c r="AD76" s="18"/>
      <c r="AE76" s="14">
        <f t="shared" si="43"/>
        <v>-106.77165354330737</v>
      </c>
      <c r="AF76" s="206">
        <f t="shared" si="50"/>
        <v>0.95551181102362193</v>
      </c>
      <c r="AG76" s="615"/>
    </row>
    <row r="77" spans="1:33" ht="16.5" customHeight="1">
      <c r="A77" s="621" t="s">
        <v>14</v>
      </c>
      <c r="B77" s="29" t="s">
        <v>850</v>
      </c>
      <c r="C77" s="612"/>
      <c r="D77" s="613"/>
      <c r="E77" s="213"/>
      <c r="F77" s="30"/>
      <c r="G77" s="12"/>
      <c r="H77" s="210"/>
      <c r="I77" s="23">
        <v>15.714285714285714</v>
      </c>
      <c r="J77" s="31">
        <v>2400</v>
      </c>
      <c r="K77" s="12">
        <f t="shared" si="45"/>
        <v>152.72727272727275</v>
      </c>
      <c r="L77" s="23">
        <v>15.714285714285714</v>
      </c>
      <c r="M77" s="13">
        <f>AVERAGE(M70:M76)</f>
        <v>2294.4566532616091</v>
      </c>
      <c r="N77" s="12">
        <f t="shared" si="46"/>
        <v>146.01087793482967</v>
      </c>
      <c r="O77" s="14">
        <f t="shared" si="47"/>
        <v>0</v>
      </c>
      <c r="P77" s="15">
        <f t="shared" si="48"/>
        <v>-6.7163947924430829</v>
      </c>
      <c r="Q77" s="206">
        <f t="shared" si="49"/>
        <v>0.95602360552567034</v>
      </c>
      <c r="R77" s="615"/>
      <c r="S77" s="34"/>
      <c r="T77" s="34"/>
      <c r="U77" s="12"/>
      <c r="V77" s="208"/>
      <c r="W77" s="12"/>
      <c r="X77" s="12"/>
      <c r="Y77" s="24">
        <f>SUM(Y70:Y76)</f>
        <v>0</v>
      </c>
      <c r="Z77" s="24">
        <f>SUM(Z70:Z76)</f>
        <v>0</v>
      </c>
      <c r="AA77" s="614"/>
      <c r="AB77" s="614"/>
      <c r="AC77" s="24">
        <v>7</v>
      </c>
      <c r="AD77" s="24">
        <f>SUM(AD70:AD76)</f>
        <v>0</v>
      </c>
      <c r="AE77" s="14">
        <f t="shared" si="43"/>
        <v>-105.54334673839094</v>
      </c>
      <c r="AF77" s="206">
        <f t="shared" si="50"/>
        <v>0.95602360552567045</v>
      </c>
      <c r="AG77" s="615"/>
    </row>
    <row r="78" spans="1:33">
      <c r="D78" s="25"/>
      <c r="E78" s="25"/>
    </row>
  </sheetData>
  <mergeCells count="201">
    <mergeCell ref="A64:A69"/>
    <mergeCell ref="C64:D64"/>
    <mergeCell ref="R64:R69"/>
    <mergeCell ref="AA64:AB64"/>
    <mergeCell ref="A70:A77"/>
    <mergeCell ref="C70:D70"/>
    <mergeCell ref="R70:R77"/>
    <mergeCell ref="AA70:AB70"/>
    <mergeCell ref="AG70:AG77"/>
    <mergeCell ref="C71:D71"/>
    <mergeCell ref="AA71:AB71"/>
    <mergeCell ref="C72:D72"/>
    <mergeCell ref="AA72:AB72"/>
    <mergeCell ref="C73:D73"/>
    <mergeCell ref="C77:D77"/>
    <mergeCell ref="AA77:AB77"/>
    <mergeCell ref="AA73:AB73"/>
    <mergeCell ref="C74:D74"/>
    <mergeCell ref="AA74:AB74"/>
    <mergeCell ref="C75:D75"/>
    <mergeCell ref="AA75:AB75"/>
    <mergeCell ref="C76:D76"/>
    <mergeCell ref="AA76:AB76"/>
    <mergeCell ref="AA69:AB69"/>
    <mergeCell ref="A41:A49"/>
    <mergeCell ref="C41:D41"/>
    <mergeCell ref="R41:R49"/>
    <mergeCell ref="AA41:AB41"/>
    <mergeCell ref="C42:D42"/>
    <mergeCell ref="AA42:AB42"/>
    <mergeCell ref="C43:D43"/>
    <mergeCell ref="AA43:AB43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G55:AG63"/>
    <mergeCell ref="C56:D56"/>
    <mergeCell ref="AA56:AB56"/>
    <mergeCell ref="C57:D57"/>
    <mergeCell ref="AA57:AB57"/>
    <mergeCell ref="AA58:AB58"/>
    <mergeCell ref="A55:A63"/>
    <mergeCell ref="C55:D55"/>
    <mergeCell ref="R55:R63"/>
    <mergeCell ref="AA55:AB55"/>
    <mergeCell ref="AA61:AB61"/>
    <mergeCell ref="C62:D62"/>
    <mergeCell ref="AA62:AB62"/>
    <mergeCell ref="A50:A54"/>
    <mergeCell ref="C50:D50"/>
    <mergeCell ref="R50:R54"/>
    <mergeCell ref="AA50:AB50"/>
    <mergeCell ref="C63:D63"/>
    <mergeCell ref="AA63:AB63"/>
    <mergeCell ref="AA59:AB59"/>
    <mergeCell ref="C60:D60"/>
    <mergeCell ref="AA60:AB60"/>
    <mergeCell ref="C61:D61"/>
    <mergeCell ref="AG50:AG54"/>
    <mergeCell ref="C51:D51"/>
    <mergeCell ref="AA51:AB51"/>
    <mergeCell ref="C52:D52"/>
    <mergeCell ref="AA52:AB52"/>
    <mergeCell ref="C53:D53"/>
    <mergeCell ref="C47:D47"/>
    <mergeCell ref="AA47:AB47"/>
    <mergeCell ref="C48:D48"/>
    <mergeCell ref="AA48:AB48"/>
    <mergeCell ref="C49:D49"/>
    <mergeCell ref="AA49:AB49"/>
    <mergeCell ref="AG41:AG49"/>
    <mergeCell ref="AA53:AB53"/>
    <mergeCell ref="C54:D54"/>
    <mergeCell ref="AA54:AB54"/>
    <mergeCell ref="C44:D44"/>
    <mergeCell ref="AA44:AB44"/>
    <mergeCell ref="C45:D45"/>
    <mergeCell ref="AA45:AB45"/>
    <mergeCell ref="C46:D46"/>
    <mergeCell ref="AA46:AB46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40:AB40"/>
    <mergeCell ref="A24:A32"/>
    <mergeCell ref="C24:D24"/>
    <mergeCell ref="R24:R32"/>
    <mergeCell ref="AA24:AB24"/>
    <mergeCell ref="C32:D32"/>
    <mergeCell ref="AA32:AB32"/>
    <mergeCell ref="A33:A40"/>
    <mergeCell ref="C33:D33"/>
    <mergeCell ref="R33:R40"/>
    <mergeCell ref="AA33:AB33"/>
    <mergeCell ref="AA38:AB38"/>
    <mergeCell ref="C39:D39"/>
    <mergeCell ref="AA39:AB39"/>
    <mergeCell ref="C40:D40"/>
    <mergeCell ref="AG24:AG32"/>
    <mergeCell ref="C25:D25"/>
    <mergeCell ref="AA25:AB25"/>
    <mergeCell ref="C26:D26"/>
    <mergeCell ref="AA26:AB26"/>
    <mergeCell ref="C27:D27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5 O63:O64 O77 O5:O10 O15:O17 O23:O60">
    <cfRule type="cellIs" dxfId="550" priority="59" operator="greaterThan">
      <formula>0</formula>
    </cfRule>
  </conditionalFormatting>
  <conditionalFormatting sqref="P5:P8 P67:P68 AE67:AE68 P70:P75 P33:P39 P64 P10 P15:P17 P24:P31 P55:P60 P41:P53 AE5:AE64 AE70:AE77">
    <cfRule type="cellIs" dxfId="549" priority="63" operator="lessThan">
      <formula>0</formula>
    </cfRule>
  </conditionalFormatting>
  <conditionalFormatting sqref="AF67:AF68 Q67:Q75 Q63:Q64 Q77 Q5:Q10 Q15:Q17 Q23:Q60 AF5:AF64 AF70:AF77">
    <cfRule type="cellIs" dxfId="548" priority="60" operator="greaterThan">
      <formula>1</formula>
    </cfRule>
    <cfRule type="cellIs" dxfId="547" priority="61" operator="lessThan">
      <formula>0.8</formula>
    </cfRule>
  </conditionalFormatting>
  <conditionalFormatting sqref="AG16:AG17 R16:R17 AG67 R67:R75 R23:R29 AG23:AG29 AG63:AG64 R63:R64 R77 AG5:AG10 R5:R10 AG32:AG60 R32:R60">
    <cfRule type="cellIs" dxfId="546" priority="65" operator="lessThan">
      <formula>0.8</formula>
    </cfRule>
  </conditionalFormatting>
  <conditionalFormatting sqref="AG50">
    <cfRule type="cellIs" dxfId="545" priority="67" operator="lessThan">
      <formula>0.8</formula>
    </cfRule>
  </conditionalFormatting>
  <conditionalFormatting sqref="AG24:AG29">
    <cfRule type="cellIs" dxfId="544" priority="64" operator="lessThan">
      <formula>0.8</formula>
    </cfRule>
  </conditionalFormatting>
  <conditionalFormatting sqref="AG33">
    <cfRule type="cellIs" dxfId="543" priority="66" operator="lessThan">
      <formula>0.8</formula>
    </cfRule>
  </conditionalFormatting>
  <conditionalFormatting sqref="AG41:AG48">
    <cfRule type="cellIs" dxfId="542" priority="62" operator="lessThan">
      <formula>0.8</formula>
    </cfRule>
  </conditionalFormatting>
  <conditionalFormatting sqref="AE69">
    <cfRule type="cellIs" dxfId="541" priority="58" operator="lessThan">
      <formula>0</formula>
    </cfRule>
  </conditionalFormatting>
  <conditionalFormatting sqref="AF69">
    <cfRule type="cellIs" dxfId="540" priority="56" operator="greaterThan">
      <formula>1</formula>
    </cfRule>
    <cfRule type="cellIs" dxfId="539" priority="57" operator="lessThan">
      <formula>0.8</formula>
    </cfRule>
  </conditionalFormatting>
  <conditionalFormatting sqref="O18:O19">
    <cfRule type="cellIs" dxfId="538" priority="51" operator="greaterThan">
      <formula>0</formula>
    </cfRule>
  </conditionalFormatting>
  <conditionalFormatting sqref="P18:P19">
    <cfRule type="cellIs" dxfId="537" priority="54" operator="lessThan">
      <formula>0</formula>
    </cfRule>
  </conditionalFormatting>
  <conditionalFormatting sqref="Q18:Q19">
    <cfRule type="cellIs" dxfId="536" priority="52" operator="greaterThan">
      <formula>1</formula>
    </cfRule>
    <cfRule type="cellIs" dxfId="535" priority="53" operator="lessThan">
      <formula>0.8</formula>
    </cfRule>
  </conditionalFormatting>
  <conditionalFormatting sqref="R18:R19 AG18:AG19">
    <cfRule type="cellIs" dxfId="534" priority="55" operator="lessThan">
      <formula>0.8</formula>
    </cfRule>
  </conditionalFormatting>
  <conditionalFormatting sqref="O11:O14">
    <cfRule type="cellIs" dxfId="533" priority="47" operator="greaterThan">
      <formula>0</formula>
    </cfRule>
  </conditionalFormatting>
  <conditionalFormatting sqref="P11:P14">
    <cfRule type="cellIs" dxfId="532" priority="50" operator="lessThan">
      <formula>0</formula>
    </cfRule>
  </conditionalFormatting>
  <conditionalFormatting sqref="Q11:Q14">
    <cfRule type="cellIs" dxfId="531" priority="48" operator="greaterThan">
      <formula>1</formula>
    </cfRule>
    <cfRule type="cellIs" dxfId="530" priority="49" operator="lessThan">
      <formula>0.8</formula>
    </cfRule>
  </conditionalFormatting>
  <conditionalFormatting sqref="O61">
    <cfRule type="cellIs" dxfId="529" priority="42" operator="greaterThan">
      <formula>0</formula>
    </cfRule>
  </conditionalFormatting>
  <conditionalFormatting sqref="P61">
    <cfRule type="cellIs" dxfId="528" priority="45" operator="lessThan">
      <formula>0</formula>
    </cfRule>
  </conditionalFormatting>
  <conditionalFormatting sqref="Q61">
    <cfRule type="cellIs" dxfId="527" priority="43" operator="greaterThan">
      <formula>1</formula>
    </cfRule>
    <cfRule type="cellIs" dxfId="526" priority="44" operator="lessThan">
      <formula>0.8</formula>
    </cfRule>
  </conditionalFormatting>
  <conditionalFormatting sqref="R61 AG61">
    <cfRule type="cellIs" dxfId="525" priority="46" operator="lessThan">
      <formula>0.8</formula>
    </cfRule>
  </conditionalFormatting>
  <conditionalFormatting sqref="AG31 R31">
    <cfRule type="cellIs" dxfId="524" priority="41" operator="lessThan">
      <formula>0.8</formula>
    </cfRule>
  </conditionalFormatting>
  <conditionalFormatting sqref="O66">
    <cfRule type="cellIs" dxfId="523" priority="36" operator="greaterThan">
      <formula>0</formula>
    </cfRule>
  </conditionalFormatting>
  <conditionalFormatting sqref="P66 AE66">
    <cfRule type="cellIs" dxfId="522" priority="39" operator="lessThan">
      <formula>0</formula>
    </cfRule>
  </conditionalFormatting>
  <conditionalFormatting sqref="Q66 AF66">
    <cfRule type="cellIs" dxfId="521" priority="37" operator="greaterThan">
      <formula>1</formula>
    </cfRule>
    <cfRule type="cellIs" dxfId="520" priority="38" operator="lessThan">
      <formula>0.8</formula>
    </cfRule>
  </conditionalFormatting>
  <conditionalFormatting sqref="R66 AG66">
    <cfRule type="cellIs" dxfId="519" priority="40" operator="lessThan">
      <formula>0.8</formula>
    </cfRule>
  </conditionalFormatting>
  <conditionalFormatting sqref="O76">
    <cfRule type="cellIs" dxfId="518" priority="31" operator="greaterThan">
      <formula>0</formula>
    </cfRule>
  </conditionalFormatting>
  <conditionalFormatting sqref="P76">
    <cfRule type="cellIs" dxfId="517" priority="34" operator="lessThan">
      <formula>0</formula>
    </cfRule>
  </conditionalFormatting>
  <conditionalFormatting sqref="Q76">
    <cfRule type="cellIs" dxfId="516" priority="32" operator="greaterThan">
      <formula>1</formula>
    </cfRule>
    <cfRule type="cellIs" dxfId="515" priority="33" operator="lessThan">
      <formula>0.8</formula>
    </cfRule>
  </conditionalFormatting>
  <conditionalFormatting sqref="R76">
    <cfRule type="cellIs" dxfId="514" priority="35" operator="lessThan">
      <formula>0.8</formula>
    </cfRule>
  </conditionalFormatting>
  <conditionalFormatting sqref="O20:O21">
    <cfRule type="cellIs" dxfId="513" priority="26" operator="greaterThan">
      <formula>0</formula>
    </cfRule>
  </conditionalFormatting>
  <conditionalFormatting sqref="P20:P21">
    <cfRule type="cellIs" dxfId="512" priority="29" operator="lessThan">
      <formula>0</formula>
    </cfRule>
  </conditionalFormatting>
  <conditionalFormatting sqref="Q20:Q21">
    <cfRule type="cellIs" dxfId="511" priority="27" operator="greaterThan">
      <formula>1</formula>
    </cfRule>
    <cfRule type="cellIs" dxfId="510" priority="28" operator="lessThan">
      <formula>0.8</formula>
    </cfRule>
  </conditionalFormatting>
  <conditionalFormatting sqref="R20:R21 AG20:AG21">
    <cfRule type="cellIs" dxfId="509" priority="30" operator="lessThan">
      <formula>0.8</formula>
    </cfRule>
  </conditionalFormatting>
  <conditionalFormatting sqref="O62">
    <cfRule type="cellIs" dxfId="508" priority="21" operator="greaterThan">
      <formula>0</formula>
    </cfRule>
  </conditionalFormatting>
  <conditionalFormatting sqref="P62">
    <cfRule type="cellIs" dxfId="507" priority="24" operator="lessThan">
      <formula>0</formula>
    </cfRule>
  </conditionalFormatting>
  <conditionalFormatting sqref="Q62">
    <cfRule type="cellIs" dxfId="506" priority="22" operator="greaterThan">
      <formula>1</formula>
    </cfRule>
    <cfRule type="cellIs" dxfId="505" priority="23" operator="lessThan">
      <formula>0.8</formula>
    </cfRule>
  </conditionalFormatting>
  <conditionalFormatting sqref="AG62 R62">
    <cfRule type="cellIs" dxfId="504" priority="25" operator="lessThan">
      <formula>0.8</formula>
    </cfRule>
  </conditionalFormatting>
  <conditionalFormatting sqref="R30 AG30">
    <cfRule type="cellIs" dxfId="503" priority="20" operator="lessThan">
      <formula>0.8</formula>
    </cfRule>
  </conditionalFormatting>
  <conditionalFormatting sqref="AG30">
    <cfRule type="cellIs" dxfId="502" priority="19" operator="lessThan">
      <formula>0.8</formula>
    </cfRule>
  </conditionalFormatting>
  <conditionalFormatting sqref="O65">
    <cfRule type="cellIs" dxfId="501" priority="14" operator="greaterThan">
      <formula>0</formula>
    </cfRule>
  </conditionalFormatting>
  <conditionalFormatting sqref="P65 AE65">
    <cfRule type="cellIs" dxfId="500" priority="17" operator="lessThan">
      <formula>0</formula>
    </cfRule>
  </conditionalFormatting>
  <conditionalFormatting sqref="Q65 AF65">
    <cfRule type="cellIs" dxfId="499" priority="15" operator="greaterThan">
      <formula>1</formula>
    </cfRule>
    <cfRule type="cellIs" dxfId="498" priority="16" operator="lessThan">
      <formula>0.8</formula>
    </cfRule>
  </conditionalFormatting>
  <conditionalFormatting sqref="R65 AG65">
    <cfRule type="cellIs" dxfId="497" priority="18" operator="lessThan">
      <formula>0.8</formula>
    </cfRule>
  </conditionalFormatting>
  <conditionalFormatting sqref="O22">
    <cfRule type="cellIs" dxfId="496" priority="9" operator="greaterThan">
      <formula>0</formula>
    </cfRule>
  </conditionalFormatting>
  <conditionalFormatting sqref="P22">
    <cfRule type="cellIs" dxfId="495" priority="12" operator="lessThan">
      <formula>0</formula>
    </cfRule>
  </conditionalFormatting>
  <conditionalFormatting sqref="Q22">
    <cfRule type="cellIs" dxfId="494" priority="10" operator="greaterThan">
      <formula>1</formula>
    </cfRule>
    <cfRule type="cellIs" dxfId="493" priority="11" operator="lessThan">
      <formula>0.8</formula>
    </cfRule>
  </conditionalFormatting>
  <conditionalFormatting sqref="AG22 R22">
    <cfRule type="cellIs" dxfId="492" priority="13" operator="lessThan">
      <formula>0.8</formula>
    </cfRule>
  </conditionalFormatting>
  <conditionalFormatting sqref="P9">
    <cfRule type="cellIs" dxfId="491" priority="8" operator="lessThan">
      <formula>0</formula>
    </cfRule>
  </conditionalFormatting>
  <conditionalFormatting sqref="P23">
    <cfRule type="cellIs" dxfId="490" priority="7" operator="lessThan">
      <formula>0</formula>
    </cfRule>
  </conditionalFormatting>
  <conditionalFormatting sqref="P32">
    <cfRule type="cellIs" dxfId="489" priority="6" operator="lessThan">
      <formula>0</formula>
    </cfRule>
  </conditionalFormatting>
  <conditionalFormatting sqref="P40">
    <cfRule type="cellIs" dxfId="488" priority="5" operator="lessThan">
      <formula>0</formula>
    </cfRule>
  </conditionalFormatting>
  <conditionalFormatting sqref="P54">
    <cfRule type="cellIs" dxfId="487" priority="4" operator="lessThan">
      <formula>0</formula>
    </cfRule>
  </conditionalFormatting>
  <conditionalFormatting sqref="P63">
    <cfRule type="cellIs" dxfId="486" priority="3" operator="lessThan">
      <formula>0</formula>
    </cfRule>
  </conditionalFormatting>
  <conditionalFormatting sqref="P69">
    <cfRule type="cellIs" dxfId="485" priority="2" operator="lessThan">
      <formula>0</formula>
    </cfRule>
  </conditionalFormatting>
  <conditionalFormatting sqref="P77">
    <cfRule type="cellIs" dxfId="484" priority="1" operator="lessThan">
      <formula>0</formula>
    </cfRule>
  </conditionalFormatting>
  <dataValidations count="1">
    <dataValidation type="list" allowBlank="1" showInputMessage="1" showErrorMessage="1" sqref="AB9 AA5:AB8 AB68 AB11:AB64 AA9:AA68 AA69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2" sqref="A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659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660</v>
      </c>
      <c r="C3" s="601" t="str">
        <f>TEXT('0607 4度C'!A2,"yyyy.mm.ddaaaa")</f>
        <v>2026.06.07星期日</v>
      </c>
      <c r="D3" s="602"/>
      <c r="E3" s="39" t="s">
        <v>661</v>
      </c>
      <c r="F3" s="603">
        <f>'0607 4度C'!D1</f>
        <v>214269</v>
      </c>
      <c r="G3" s="604"/>
      <c r="H3" s="39" t="s">
        <v>662</v>
      </c>
      <c r="I3" s="605">
        <f>'0607 4度C'!F1</f>
        <v>7366856.7799999984</v>
      </c>
      <c r="J3" s="606"/>
      <c r="K3" s="40"/>
      <c r="L3" s="41"/>
      <c r="M3" s="42"/>
      <c r="N3" s="42"/>
    </row>
    <row r="4" spans="2:17" ht="28.5" customHeight="1">
      <c r="B4" s="607" t="s">
        <v>663</v>
      </c>
      <c r="C4" s="593" t="s">
        <v>664</v>
      </c>
      <c r="D4" s="594"/>
      <c r="E4" s="610" t="s">
        <v>665</v>
      </c>
      <c r="F4" s="611"/>
      <c r="G4" s="610" t="s">
        <v>666</v>
      </c>
      <c r="H4" s="611"/>
      <c r="I4" s="610" t="s">
        <v>667</v>
      </c>
      <c r="J4" s="611"/>
      <c r="K4" s="591" t="s">
        <v>668</v>
      </c>
      <c r="L4" s="592"/>
      <c r="M4" s="592" t="s">
        <v>669</v>
      </c>
      <c r="N4" s="592"/>
    </row>
    <row r="5" spans="2:17" ht="28.5" customHeight="1">
      <c r="B5" s="608"/>
      <c r="C5" s="593" t="s">
        <v>670</v>
      </c>
      <c r="D5" s="594"/>
      <c r="E5" s="593" t="s">
        <v>671</v>
      </c>
      <c r="F5" s="594"/>
      <c r="G5" s="595" t="s">
        <v>672</v>
      </c>
      <c r="H5" s="596"/>
      <c r="I5" s="597" t="s">
        <v>673</v>
      </c>
      <c r="J5" s="598"/>
      <c r="K5" s="43" t="s">
        <v>102</v>
      </c>
      <c r="L5" s="44" t="s">
        <v>674</v>
      </c>
      <c r="M5" s="43" t="s">
        <v>675</v>
      </c>
      <c r="N5" s="44" t="s">
        <v>676</v>
      </c>
    </row>
    <row r="6" spans="2:17" ht="28.5" customHeight="1">
      <c r="B6" s="608"/>
      <c r="C6" s="593" t="s">
        <v>58</v>
      </c>
      <c r="D6" s="594"/>
      <c r="E6" s="585">
        <f>AVERAGE(D13:M13)</f>
        <v>152.57997215756626</v>
      </c>
      <c r="F6" s="586">
        <f>AVERAGE(D31:O31,D13:J13)</f>
        <v>159.03887264391639</v>
      </c>
      <c r="G6" s="587">
        <f>AVERAGE(D13:J13)</f>
        <v>159.03887264391639</v>
      </c>
      <c r="H6" s="588"/>
      <c r="I6" s="587">
        <f>AVERAGE(K13:M13)</f>
        <v>137.50920435608262</v>
      </c>
      <c r="J6" s="588"/>
      <c r="K6" s="589">
        <f>'0607 4度C'!Y2</f>
        <v>0</v>
      </c>
      <c r="L6" s="574">
        <f>'0607 4度C'!Z2</f>
        <v>0</v>
      </c>
      <c r="M6" s="590">
        <f>'0607 4度C'!AC2</f>
        <v>62</v>
      </c>
      <c r="N6" s="574">
        <f>'0607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146.09979719633651</v>
      </c>
      <c r="F7" s="578">
        <f>AVERAGE(D32:O32,D14:J14)</f>
        <v>152.381411683507</v>
      </c>
      <c r="G7" s="579">
        <f>AVERAGE(D14:J14)</f>
        <v>152.381411683507</v>
      </c>
      <c r="H7" s="580"/>
      <c r="I7" s="579">
        <f>AVERAGE(K14:M14)</f>
        <v>131.44269672627206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0.95762090834659475</v>
      </c>
      <c r="F8" s="582">
        <f>AVERAGE(D15:J15,D33:O33)</f>
        <v>0.95834668438412096</v>
      </c>
      <c r="G8" s="583">
        <f>AVERAGE(D15:J15)</f>
        <v>0.95834668438412096</v>
      </c>
      <c r="H8" s="584"/>
      <c r="I8" s="583">
        <f>AVERAGE(K15:M15)</f>
        <v>0.95592743092569998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677</v>
      </c>
      <c r="N9" s="42"/>
      <c r="O9" s="42"/>
      <c r="P9" s="42"/>
      <c r="Q9" s="42"/>
    </row>
    <row r="10" spans="2:17" ht="30" customHeight="1">
      <c r="B10" s="557" t="s">
        <v>201</v>
      </c>
      <c r="C10" s="558"/>
      <c r="D10" s="559" t="s">
        <v>385</v>
      </c>
      <c r="E10" s="560"/>
      <c r="F10" s="560"/>
      <c r="G10" s="560"/>
      <c r="H10" s="560"/>
      <c r="I10" s="560"/>
      <c r="J10" s="561"/>
      <c r="K10" s="562" t="s">
        <v>107</v>
      </c>
      <c r="L10" s="563"/>
      <c r="M10" s="564"/>
      <c r="P10" s="48"/>
      <c r="Q10" s="48"/>
    </row>
    <row r="11" spans="2:17" ht="17.25" customHeight="1">
      <c r="B11" s="565" t="s">
        <v>678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679</v>
      </c>
      <c r="C13" s="55" t="s">
        <v>110</v>
      </c>
      <c r="D13" s="56">
        <f>SUMIFS('0607 4度C'!$K:$K,'0607 4度C'!$A:$A,"新豐6線",'0607 4度C'!$B:$B,"平均")</f>
        <v>129.03225806451613</v>
      </c>
      <c r="E13" s="57">
        <f>SUMIFS('0607 4度C'!$K:$K,'0607 4度C'!$A:$A,"新豐2線",'0607 4度C'!$B:$B,"平均")</f>
        <v>88.235294117647058</v>
      </c>
      <c r="F13" s="58">
        <f>SUMIFS('0607 4度C'!$K:$K,'0607 4度C'!$A:$A,"新豐5線",'0607 4度C'!$B:$B,"平均")</f>
        <v>86.666666666666671</v>
      </c>
      <c r="G13" s="58">
        <f>SUMIFS('0607 4度C'!$K:$K,'0607 4度C'!$A:$A,"新豐7線",'0607 4度C'!$B:$B,"平均")</f>
        <v>125</v>
      </c>
      <c r="H13" s="58">
        <f>SUMIFS('0607 4度C'!$K:$K,'0607 4度C'!$A:$A,"新豐3線",'0607 4度C'!$B:$B,"平均")</f>
        <v>255.81395348837211</v>
      </c>
      <c r="I13" s="58">
        <f>SUMIFS('0607 4度C'!$K:$K,'0607 4度C'!$A:$A,"新豐1線",'0607 4度C'!$B:$B,"平均")</f>
        <v>109.375</v>
      </c>
      <c r="J13" s="59">
        <f>SUMIFS('0607 4度C'!$K:$K,'0607 4度C'!$A:$A,"新豐10線",'0607 4度C'!$B:$B,"平均")</f>
        <v>319.14893617021278</v>
      </c>
      <c r="K13" s="60">
        <f>SUMIFS('0607 4度C'!$K:$K,'0607 4度C'!$A:$A,"新豐8線",'0607 4度C'!$B:$B,"平均")</f>
        <v>137.70491803278691</v>
      </c>
      <c r="L13" s="61">
        <f>SUMIFS('0607 4度C'!$K:$K,'0607 4度C'!$A:$A,"新豐9線",'0607 4度C'!$B:$B,"平均")</f>
        <v>124.822695035461</v>
      </c>
      <c r="M13" s="59">
        <f>SUMIFS('0607 4度C'!$K:$K,'0607 4度C'!$A:$A,"新豐4線",'0607 4度C'!$B:$B,"平均")</f>
        <v>150</v>
      </c>
    </row>
    <row r="14" spans="2:17" ht="39.6" customHeight="1">
      <c r="B14" s="570"/>
      <c r="C14" s="62" t="s">
        <v>680</v>
      </c>
      <c r="D14" s="63">
        <f>SUMIFS('0607 4度C'!$N:$N,'0607 4度C'!$A:$A,"新豐6線",'0607 4度C'!$B:$B,"平均")</f>
        <v>124.34937817164199</v>
      </c>
      <c r="E14" s="64">
        <f>SUMIFS('0607 4度C'!$N:$N,'0607 4度C'!$A:$A,"新豐2線",'0607 4度C'!$B:$B,"平均")</f>
        <v>84.246238381479358</v>
      </c>
      <c r="F14" s="64">
        <f>SUMIFS('0607 4度C'!$N:$N,'0607 4度C'!$A:$A,"新豐5線",'0607 4度C'!$B:$B,"平均")</f>
        <v>82.807040538023642</v>
      </c>
      <c r="G14" s="64">
        <f>SUMIFS('0607 4度C'!$N:$N,'0607 4度C'!$A:$A,"新豐7線",'0607 4度C'!$B:$B,"平均")</f>
        <v>120.06128208741528</v>
      </c>
      <c r="H14" s="64">
        <f>SUMIFS('0607 4度C'!$N:$N,'0607 4度C'!$A:$A,"新豐3線",'0607 4度C'!$B:$B,"平均")</f>
        <v>244.22284239220824</v>
      </c>
      <c r="I14" s="64">
        <f>SUMIFS('0607 4度C'!$N:$N,'0607 4度C'!$A:$A,"新豐1線",'0607 4度C'!$B:$B,"平均")</f>
        <v>105.08918490607167</v>
      </c>
      <c r="J14" s="65">
        <f>SUMIFS('0607 4度C'!$N:$N,'0607 4度C'!$A:$A,"新豐10線",'0607 4度C'!$B:$B,"平均")</f>
        <v>305.89391530770877</v>
      </c>
      <c r="K14" s="66">
        <f>SUMIFS('0607 4度C'!$N:$N,'0607 4度C'!$A:$A,"新豐8線",'0607 4度C'!$B:$B,"平均")</f>
        <v>131.60254446461792</v>
      </c>
      <c r="L14" s="67">
        <f>SUMIFS('0607 4度C'!$N:$N,'0607 4度C'!$A:$A,"新豐9線",'0607 4度C'!$B:$B,"平均")</f>
        <v>119.42728657464185</v>
      </c>
      <c r="M14" s="65">
        <f>SUMIFS('0607 4度C'!$N:$N,'0607 4度C'!$A:$A,"新豐4線",'0607 4度C'!$B:$B,"平均")</f>
        <v>143.29825913955645</v>
      </c>
    </row>
    <row r="15" spans="2:17" ht="40.15" customHeight="1">
      <c r="B15" s="571"/>
      <c r="C15" s="68" t="s">
        <v>681</v>
      </c>
      <c r="D15" s="69">
        <f t="shared" ref="D15:M15" si="0">D14/D13</f>
        <v>0.9637076808302254</v>
      </c>
      <c r="E15" s="70">
        <f t="shared" si="0"/>
        <v>0.95479070165676605</v>
      </c>
      <c r="F15" s="70">
        <f t="shared" si="0"/>
        <v>0.95546585236181125</v>
      </c>
      <c r="G15" s="70">
        <f t="shared" si="0"/>
        <v>0.9604902566993222</v>
      </c>
      <c r="H15" s="70">
        <f t="shared" si="0"/>
        <v>0.95468929298772309</v>
      </c>
      <c r="I15" s="70">
        <f t="shared" si="0"/>
        <v>0.96081540485551242</v>
      </c>
      <c r="J15" s="71">
        <f t="shared" si="0"/>
        <v>0.95846760129748743</v>
      </c>
      <c r="K15" s="69">
        <f t="shared" si="0"/>
        <v>0.95568514432639184</v>
      </c>
      <c r="L15" s="70">
        <f t="shared" si="0"/>
        <v>0.95677542085366485</v>
      </c>
      <c r="M15" s="71">
        <f t="shared" si="0"/>
        <v>0.95532172759704304</v>
      </c>
    </row>
    <row r="16" spans="2:17" ht="17.25" customHeight="1">
      <c r="B16" s="572" t="s">
        <v>682</v>
      </c>
      <c r="C16" s="72" t="s">
        <v>683</v>
      </c>
      <c r="D16" s="73">
        <f>VLOOKUP("新豐6線",'0607 4度C'!$A:$T,19,0)</f>
        <v>0.70833333333333337</v>
      </c>
      <c r="E16" s="74">
        <f>VLOOKUP("新豐2線",'0607 4度C'!$A:$T,19,0)</f>
        <v>8.3333333333333329E-2</v>
      </c>
      <c r="F16" s="74">
        <f>VLOOKUP("新豐5線",'0607 4度C'!$A:$T,19,0)</f>
        <v>8.3333333333333329E-2</v>
      </c>
      <c r="G16" s="74">
        <f>VLOOKUP("新豐7線",'0607 4度C'!$A:$T,19,0)</f>
        <v>0.20833333333333334</v>
      </c>
      <c r="H16" s="74">
        <f>VLOOKUP("新豐3線",'0607 4度C'!$A:$T,19,0)</f>
        <v>8.3333333333333329E-2</v>
      </c>
      <c r="I16" s="74">
        <f>VLOOKUP("新豐1線",'0607 4度C'!$A:$T,19,0)</f>
        <v>0.20833333333333334</v>
      </c>
      <c r="J16" s="75">
        <f>VLOOKUP("新豐10線",'0607 4度C'!$A:$T,19,0)</f>
        <v>0.20833333333333334</v>
      </c>
      <c r="K16" s="76">
        <f>VLOOKUP("新豐8線",'0607 4度C'!$A:$T,19,0)</f>
        <v>8.3333333333333329E-2</v>
      </c>
      <c r="L16" s="77">
        <f>VLOOKUP("新豐9線",'0607 4度C'!$A:$T,19,0)</f>
        <v>8.3333333333333329E-2</v>
      </c>
      <c r="M16" s="78">
        <f>VLOOKUP("新豐4線",'0607 4度C'!$A:$T,19,0)</f>
        <v>8.3333333333333329E-2</v>
      </c>
    </row>
    <row r="17" spans="2:13" ht="17.25" customHeight="1">
      <c r="B17" s="573"/>
      <c r="C17" s="72" t="s">
        <v>684</v>
      </c>
      <c r="D17" s="76">
        <f>LOOKUP(2,1/(('0607 4度C'!$A:$A="新豐6線")*('0607 4度C'!$T:$T&lt;&gt;"")),'0607 4度C'!$T:$T)</f>
        <v>0.91388888888888886</v>
      </c>
      <c r="E17" s="74">
        <f>LOOKUP(2,1/(('0607 4度C'!$A:$A="新豐2線")*('0607 4度C'!$T:$T&lt;&gt;"")),'0607 4度C'!$T:$T)</f>
        <v>0.76944444444444426</v>
      </c>
      <c r="F17" s="74">
        <f>LOOKUP(2,1/(('0607 4度C'!$A:$A="新豐5線")*('0607 4度C'!$T:$T&lt;&gt;"")),'0607 4度C'!$T:$T)</f>
        <v>0.83611111111111103</v>
      </c>
      <c r="G17" s="74">
        <f>LOOKUP(2,1/(('0607 4度C'!$A:$A="新豐7線")*('0607 4度C'!$T:$T&lt;&gt;"")),'0607 4度C'!$T:$T)</f>
        <v>0.81111111111111123</v>
      </c>
      <c r="H17" s="74">
        <f>LOOKUP(2,1/(('0607 4度C'!$A:$A="新豐3線")*('0607 4度C'!$T:$T&lt;&gt;"")),'0607 4度C'!$T:$T)</f>
        <v>0.43333333333333329</v>
      </c>
      <c r="I17" s="74">
        <f>LOOKUP(2,1/(('0607 4度C'!$A:$A="新豐1線")*('0607 4度C'!$T:$T&lt;&gt;"")),'0607 4度C'!$T:$T)</f>
        <v>0.86250000000000004</v>
      </c>
      <c r="J17" s="75">
        <f>LOOKUP(2,1/(('0607 4度C'!$A:$A="新豐10線")*('0607 4度C'!$T:$T&lt;&gt;"")),'0607 4度C'!$T:$T)</f>
        <v>0.41874999999999996</v>
      </c>
      <c r="K17" s="73">
        <f>LOOKUP(2,1/(('0607 4度C'!$A:$A="新豐8線")*('0607 4度C'!$T:$T&lt;&gt;"")),'0607 4度C'!$T:$T)</f>
        <v>0.77986111111111089</v>
      </c>
      <c r="L17" s="74">
        <f>LOOKUP(2,1/(('0607 4度C'!$A:$A="新豐9線")*('0607 4度C'!$T:$T&lt;&gt;"")),'0607 4度C'!$T:$T)</f>
        <v>0.78541666666666643</v>
      </c>
      <c r="M17" s="75">
        <f>LOOKUP(2,1/(('0607 4度C'!$A:$A="新豐4線")*('0607 4度C'!$T:$T&lt;&gt;"")),'0607 4度C'!$T:$T)</f>
        <v>0.74722222222222201</v>
      </c>
    </row>
    <row r="18" spans="2:13" ht="17.25" customHeight="1">
      <c r="B18" s="551" t="s">
        <v>211</v>
      </c>
      <c r="C18" s="79" t="s">
        <v>685</v>
      </c>
      <c r="D18" s="80">
        <f>SUMIFS('0607 4度C'!$Y:$Y,'0607 4度C'!$A:$A,"新豐6線",'0607 4度C'!$B:$B,"平均")</f>
        <v>0</v>
      </c>
      <c r="E18" s="81">
        <f>SUMIFS('0607 4度C'!$Y:$Y,'0607 4度C'!$A:$A,"新豐2線",'0607 4度C'!$B:$B,"平均")</f>
        <v>0</v>
      </c>
      <c r="F18" s="81">
        <f>SUMIFS('0607 4度C'!$Y:$Y,'0607 4度C'!$A:$A,"新豐5線",'0607 4度C'!$B:$B,"平均")</f>
        <v>0</v>
      </c>
      <c r="G18" s="81">
        <f>SUMIFS('0607 4度C'!$Y:$Y,'0607 4度C'!$A:$A,"新豐7線",'0607 4度C'!$B:$B,"平均")</f>
        <v>0</v>
      </c>
      <c r="H18" s="81">
        <f>SUMIFS('0607 4度C'!$Y:$Y,'0607 4度C'!$A:$A,"新豐3線",'0607 4度C'!$B:$B,"平均")</f>
        <v>0</v>
      </c>
      <c r="I18" s="81">
        <f>SUMIFS('0607 4度C'!$Y:$Y,'0607 4度C'!$A:$A,"新豐1線",'0607 4度C'!$B:$B,"平均")</f>
        <v>0</v>
      </c>
      <c r="J18" s="82">
        <f>SUMIFS('0607 4度C'!$Y:$Y,'0607 4度C'!$A:$A,"新豐10線",'0607 4度C'!$B:$B,"平均")</f>
        <v>0</v>
      </c>
      <c r="K18" s="83">
        <f>SUMIFS('0607 4度C'!$Y:$Y,'0607 4度C'!$A:$A,"新豐8線",'0607 4度C'!$B:$B,"平均")</f>
        <v>0</v>
      </c>
      <c r="L18" s="81">
        <f>SUMIFS('0607 4度C'!$Y:$Y,'0607 4度C'!$A:$A,"新豐9線",'0607 4度C'!$B:$B,"平均")</f>
        <v>0</v>
      </c>
      <c r="M18" s="82">
        <f>SUMIFS('0607 4度C'!$Y:$Y,'0607 4度C'!$A:$A,"新豐4線",'0607 4度C'!$B:$B,"平均")</f>
        <v>0</v>
      </c>
    </row>
    <row r="19" spans="2:13" ht="17.25" customHeight="1">
      <c r="B19" s="552"/>
      <c r="C19" s="79" t="s">
        <v>686</v>
      </c>
      <c r="D19" s="80">
        <f>SUMIFS('0607 4度C'!$Z:$Z,'0607 4度C'!$A:$A,"新豐6線",'0607 4度C'!$B:$B,"平均")</f>
        <v>0</v>
      </c>
      <c r="E19" s="81">
        <f>SUMIFS('0607 4度C'!$Z:$Z,'0607 4度C'!$A:$A,"新豐2線",'0607 4度C'!$B:$B,"平均")</f>
        <v>0</v>
      </c>
      <c r="F19" s="81">
        <f>SUMIFS('0607 4度C'!$Z:$Z,'0607 4度C'!$A:$A,"新豐5線",'0607 4度C'!$B:$B,"平均")</f>
        <v>0</v>
      </c>
      <c r="G19" s="81">
        <f>SUMIFS('0607 4度C'!$Z:$Z,'0607 4度C'!$A:$A,"新豐7線",'0607 4度C'!$B:$B,"平均")</f>
        <v>0</v>
      </c>
      <c r="H19" s="81">
        <f>SUMIFS('0607 4度C'!$Z:$Z,'0607 4度C'!$A:$A,"新豐3線",'0607 4度C'!$B:$B,"平均")</f>
        <v>0</v>
      </c>
      <c r="I19" s="81">
        <f>SUMIFS('0607 4度C'!$Z:$Z,'0607 4度C'!$A:$A,"新豐1線",'0607 4度C'!$B:$B,"平均")</f>
        <v>0</v>
      </c>
      <c r="J19" s="82">
        <f>SUMIFS('0607 4度C'!$Z:$Z,'0607 4度C'!$A:$A,"新豐10線",'0607 4度C'!$B:$B,"平均")</f>
        <v>0</v>
      </c>
      <c r="K19" s="83">
        <f>SUMIFS('0607 4度C'!$Z:$Z,'0607 4度C'!$A:$A,"新豐8線",'0607 4度C'!$B:$B,"平均")</f>
        <v>0</v>
      </c>
      <c r="L19" s="81">
        <f>SUMIFS('0607 4度C'!$Z:$Z,'0607 4度C'!$A:$A,"新豐9線",'0607 4度C'!$B:$B,"平均")</f>
        <v>0</v>
      </c>
      <c r="M19" s="82">
        <f>SUMIFS('0607 4度C'!$Z:$Z,'0607 4度C'!$A:$A,"新豐4線",'0607 4度C'!$B:$B,"平均")</f>
        <v>0</v>
      </c>
    </row>
    <row r="20" spans="2:13" ht="17.25" customHeight="1">
      <c r="B20" s="551" t="s">
        <v>687</v>
      </c>
      <c r="C20" s="79" t="s">
        <v>685</v>
      </c>
      <c r="D20" s="80">
        <f>SUMIFS('0607 4度C'!$AC:$AC,'0607 4度C'!$A:$A,"新豐6線",'0607 4度C'!$B:$B,"平均")</f>
        <v>4</v>
      </c>
      <c r="E20" s="81">
        <f>SUMIFS('0607 4度C'!$AC:$AC,'0607 4度C'!$A:$A,"新豐2線",'0607 4度C'!$B:$B,"平均")</f>
        <v>5</v>
      </c>
      <c r="F20" s="81">
        <f>SUMIFS('0607 4度C'!$AC:$AC,'0607 4度C'!$A:$A,"新豐5線",'0607 4度C'!$B:$B,"平均")</f>
        <v>8</v>
      </c>
      <c r="G20" s="81">
        <f>SUMIFS('0607 4度C'!$AC:$AC,'0607 4度C'!$A:$A,"新豐7線",'0607 4度C'!$B:$B,"平均")</f>
        <v>6</v>
      </c>
      <c r="H20" s="81">
        <f>SUMIFS('0607 4度C'!$AC:$AC,'0607 4度C'!$A:$A,"新豐3線",'0607 4度C'!$B:$B,"平均")</f>
        <v>4</v>
      </c>
      <c r="I20" s="81">
        <f>SUMIFS('0607 4度C'!$AC:$AC,'0607 4度C'!$A:$A,"新豐1線",'0607 4度C'!$B:$B,"平均")</f>
        <v>7</v>
      </c>
      <c r="J20" s="82">
        <f>SUMIFS('0607 4度C'!$AC:$AC,'0607 4度C'!$A:$A,"新豐10線",'0607 4度C'!$B:$B,"平均")</f>
        <v>5</v>
      </c>
      <c r="K20" s="83">
        <f>SUMIFS('0607 4度C'!$AC:$AC,'0607 4度C'!$A:$A,"新豐8線",'0607 4度C'!$B:$B,"平均")</f>
        <v>7</v>
      </c>
      <c r="L20" s="81">
        <f>SUMIFS('0607 4度C'!$AC:$AC,'0607 4度C'!$A:$A,"新豐9線",'0607 4度C'!$B:$B,"平均")</f>
        <v>8</v>
      </c>
      <c r="M20" s="82">
        <f>SUMIFS('0607 4度C'!$AC:$AC,'0607 4度C'!$A:$A,"新豐4線",'0607 4度C'!$B:$B,"平均")</f>
        <v>8</v>
      </c>
    </row>
    <row r="21" spans="2:13" ht="17.25" customHeight="1">
      <c r="B21" s="552"/>
      <c r="C21" s="79" t="s">
        <v>688</v>
      </c>
      <c r="D21" s="80">
        <f>SUMIFS('0607 4度C'!$AD:$AD,'0607 4度C'!$A:$A,"新豐6線",'0607 4度C'!$B:$B,"平均")</f>
        <v>0</v>
      </c>
      <c r="E21" s="81">
        <f>SUMIFS('0607 4度C'!$AD:$AD,'0607 4度C'!$A:$A,"新豐2線",'0607 4度C'!$B:$B,"平均")</f>
        <v>0</v>
      </c>
      <c r="F21" s="81">
        <f>SUMIFS('0607 4度C'!$AD:$AD,'0607 4度C'!$A:$A,"新豐5線",'0607 4度C'!$B:$B,"平均")</f>
        <v>0</v>
      </c>
      <c r="G21" s="81">
        <f>SUMIFS('0607 4度C'!$AD:$AD,'0607 4度C'!$A:$A,"新豐7線",'0607 4度C'!$B:$B,"平均")</f>
        <v>0</v>
      </c>
      <c r="H21" s="81">
        <f>SUMIFS('0607 4度C'!$AD:$AD,'0607 4度C'!$A:$A,"新豐3線",'0607 4度C'!$B:$B,"平均")</f>
        <v>0</v>
      </c>
      <c r="I21" s="81">
        <f>SUMIFS('0607 4度C'!$AD:$AD,'0607 4度C'!$A:$A,"新豐1線",'0607 4度C'!$B:$B,"平均")</f>
        <v>0</v>
      </c>
      <c r="J21" s="82">
        <f>SUMIFS('0607 4度C'!$AD:$AD,'0607 4度C'!$A:$A,"新豐10線",'0607 4度C'!$B:$B,"平均")</f>
        <v>0</v>
      </c>
      <c r="K21" s="83">
        <f>SUMIFS('0607 4度C'!$AD:$AD,'0607 4度C'!$A:$A,"新豐8線",'0607 4度C'!$B:$B,"平均")</f>
        <v>0</v>
      </c>
      <c r="L21" s="81">
        <f>SUMIFS('0607 4度C'!$AD:$AD,'0607 4度C'!$A:$A,"新豐9線",'0607 4度C'!$B:$B,"平均")</f>
        <v>0</v>
      </c>
      <c r="M21" s="82">
        <f>SUMIFS('0607 4度C'!$AD:$AD,'0607 4度C'!$A:$A,"新豐4線",'0607 4度C'!$B:$B,"平均")</f>
        <v>0</v>
      </c>
    </row>
    <row r="22" spans="2:13" ht="17.25" customHeight="1">
      <c r="B22" s="553" t="s">
        <v>689</v>
      </c>
      <c r="C22" s="554"/>
      <c r="D22" s="84">
        <f>SUMIFS('0607 4度C'!$I:$I,'0607 4度C'!$A:$A,"新豐6線",'0607 4度C'!$B:$B,"平均")</f>
        <v>15.5</v>
      </c>
      <c r="E22" s="85">
        <f>SUMIFS('0607 4度C'!$I:$I,'0607 4度C'!$A:$A,"新豐2線",'0607 4度C'!$B:$B,"平均")</f>
        <v>17</v>
      </c>
      <c r="F22" s="85">
        <f>SUMIFS('0607 4度C'!$I:$I,'0607 4度C'!$A:$A,"新豐5線",'0607 4度C'!$B:$B,"平均")</f>
        <v>18.75</v>
      </c>
      <c r="G22" s="85">
        <f>SUMIFS('0607 4度C'!$I:$I,'0607 4度C'!$A:$A,"新豐7線",'0607 4度C'!$B:$B,"平均")</f>
        <v>15.333333333333334</v>
      </c>
      <c r="H22" s="85">
        <f>SUMIFS('0607 4度C'!$I:$I,'0607 4度C'!$A:$A,"新豐3線",'0607 4度C'!$B:$B,"平均")</f>
        <v>10.75</v>
      </c>
      <c r="I22" s="85">
        <f>SUMIFS('0607 4度C'!$I:$I,'0607 4度C'!$A:$A,"新豐1線",'0607 4度C'!$B:$B,"平均")</f>
        <v>18.285714285714285</v>
      </c>
      <c r="J22" s="86">
        <f>SUMIFS('0607 4度C'!$I:$I,'0607 4度C'!$A:$A,"新豐10線",'0607 4度C'!$B:$B,"平均")</f>
        <v>9.4</v>
      </c>
      <c r="K22" s="84">
        <f>SUMIFS('0607 4度C'!$I:$I,'0607 4度C'!$A:$A,"新豐8線",'0607 4度C'!$B:$B,"平均")</f>
        <v>17.428571428571427</v>
      </c>
      <c r="L22" s="85">
        <f>SUMIFS('0607 4度C'!$I:$I,'0607 4度C'!$A:$A,"新豐9線",'0607 4度C'!$B:$B,"平均")</f>
        <v>17.625</v>
      </c>
      <c r="M22" s="86">
        <f>SUMIFS('0607 4度C'!$I:$I,'0607 4度C'!$A:$A,"新豐4線",'0607 4度C'!$B:$B,"平均")</f>
        <v>16</v>
      </c>
    </row>
    <row r="23" spans="2:13" ht="17.25" customHeight="1">
      <c r="B23" s="553" t="s">
        <v>690</v>
      </c>
      <c r="C23" s="554"/>
      <c r="D23" s="87" t="s">
        <v>71</v>
      </c>
      <c r="E23" s="88" t="s">
        <v>72</v>
      </c>
      <c r="F23" s="88" t="s">
        <v>691</v>
      </c>
      <c r="G23" s="88" t="s">
        <v>691</v>
      </c>
      <c r="H23" s="88" t="s">
        <v>73</v>
      </c>
      <c r="I23" s="88" t="s">
        <v>71</v>
      </c>
      <c r="J23" s="89" t="s">
        <v>73</v>
      </c>
      <c r="K23" s="87" t="s">
        <v>692</v>
      </c>
      <c r="L23" s="88" t="s">
        <v>692</v>
      </c>
      <c r="M23" s="89" t="s">
        <v>692</v>
      </c>
    </row>
    <row r="24" spans="2:13" ht="17.25" customHeight="1">
      <c r="B24" s="553" t="s">
        <v>125</v>
      </c>
      <c r="C24" s="554"/>
      <c r="D24" s="87"/>
      <c r="E24" s="88"/>
      <c r="F24" s="88" t="s">
        <v>693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694</v>
      </c>
      <c r="C25" s="556"/>
      <c r="D25" s="90"/>
      <c r="E25" s="91" t="s">
        <v>695</v>
      </c>
      <c r="F25" s="549" t="s">
        <v>696</v>
      </c>
      <c r="G25" s="550"/>
      <c r="H25" s="91" t="s">
        <v>130</v>
      </c>
      <c r="I25" s="91" t="s">
        <v>131</v>
      </c>
      <c r="J25" s="92" t="s">
        <v>130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7"/>
  <sheetViews>
    <sheetView zoomScale="80" zoomScaleNormal="80" workbookViewId="0">
      <pane ySplit="4" topLeftCell="A41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697</v>
      </c>
      <c r="B1" s="1"/>
      <c r="C1" s="2" t="s">
        <v>698</v>
      </c>
      <c r="D1" s="3">
        <f>SUM(F5:F76)</f>
        <v>214269</v>
      </c>
      <c r="E1" s="196" t="s">
        <v>699</v>
      </c>
      <c r="F1" s="1">
        <f>SUM(G5:G76)</f>
        <v>7366856.7799999984</v>
      </c>
      <c r="G1" s="1" t="s">
        <v>700</v>
      </c>
      <c r="H1" s="4">
        <f>L9+L15+L53+L61+L24+L67+L39+L48+L31+L76</f>
        <v>156.07261904761904</v>
      </c>
      <c r="I1" s="663" t="s">
        <v>701</v>
      </c>
      <c r="J1" s="663"/>
      <c r="K1" s="663"/>
      <c r="L1" s="663" t="s">
        <v>702</v>
      </c>
      <c r="M1" s="663"/>
      <c r="N1" s="663"/>
      <c r="O1" s="663" t="s">
        <v>703</v>
      </c>
      <c r="P1" s="663"/>
      <c r="Q1" s="663"/>
      <c r="R1" s="663"/>
      <c r="S1" s="663" t="s">
        <v>704</v>
      </c>
      <c r="T1" s="663"/>
      <c r="U1" s="663"/>
      <c r="V1" s="663"/>
      <c r="W1" s="663"/>
      <c r="X1" s="663"/>
      <c r="Y1" s="5" t="s">
        <v>705</v>
      </c>
      <c r="Z1" s="6" t="s">
        <v>706</v>
      </c>
      <c r="AA1" s="664" t="s">
        <v>707</v>
      </c>
      <c r="AB1" s="664"/>
      <c r="AC1" s="188" t="s">
        <v>705</v>
      </c>
      <c r="AD1" s="6" t="s">
        <v>708</v>
      </c>
      <c r="AE1" s="663" t="s">
        <v>709</v>
      </c>
      <c r="AF1" s="665"/>
      <c r="AG1" s="665"/>
    </row>
    <row r="2" spans="1:33" ht="26.25" customHeight="1">
      <c r="A2" s="27">
        <v>46180</v>
      </c>
      <c r="B2" s="28" t="s">
        <v>710</v>
      </c>
      <c r="C2" s="2" t="s">
        <v>679</v>
      </c>
      <c r="D2" s="8">
        <f>AVERAGE(N9,N15,N53,N61,N24,N67,N31,N39,N48,N76)</f>
        <v>146.09979719633651</v>
      </c>
      <c r="E2" s="9" t="s">
        <v>0</v>
      </c>
      <c r="F2" s="10">
        <f>F1/D1</f>
        <v>34.381346718377358</v>
      </c>
      <c r="G2" s="1" t="s">
        <v>711</v>
      </c>
      <c r="H2" s="201">
        <f>COUNT(H5:H76)</f>
        <v>13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SUM(Y9+Y15+Y24+Y31+Y39+Y48+Y53+Y61+Y67+Y76)</f>
        <v>0</v>
      </c>
      <c r="Z2" s="11">
        <f>SUM(Z9+Z15+Z24+Z31+Z39+Z48+Z53+Z61+Z67+Z76)</f>
        <v>0</v>
      </c>
      <c r="AA2" s="664"/>
      <c r="AB2" s="664"/>
      <c r="AC2" s="11">
        <v>62</v>
      </c>
      <c r="AD2" s="11">
        <f>SUM(AD9+AD15+AD24+AD31+AD39+AD48+AD53+AD61+AD67+AD76)</f>
        <v>0</v>
      </c>
      <c r="AE2" s="665"/>
      <c r="AF2" s="665"/>
      <c r="AG2" s="665"/>
    </row>
    <row r="3" spans="1:33" ht="40.5" customHeight="1">
      <c r="A3" s="617" t="s">
        <v>712</v>
      </c>
      <c r="B3" s="617" t="s">
        <v>713</v>
      </c>
      <c r="C3" s="617" t="s">
        <v>714</v>
      </c>
      <c r="D3" s="617"/>
      <c r="E3" s="661" t="s">
        <v>715</v>
      </c>
      <c r="F3" s="617" t="s">
        <v>716</v>
      </c>
      <c r="G3" s="661" t="s">
        <v>717</v>
      </c>
      <c r="H3" s="654" t="s">
        <v>718</v>
      </c>
      <c r="I3" s="652" t="s">
        <v>719</v>
      </c>
      <c r="J3" s="649" t="s">
        <v>720</v>
      </c>
      <c r="K3" s="659" t="s">
        <v>679</v>
      </c>
      <c r="L3" s="652" t="s">
        <v>719</v>
      </c>
      <c r="M3" s="649" t="s">
        <v>720</v>
      </c>
      <c r="N3" s="659" t="s">
        <v>679</v>
      </c>
      <c r="O3" s="652" t="s">
        <v>719</v>
      </c>
      <c r="P3" s="659" t="s">
        <v>679</v>
      </c>
      <c r="Q3" s="650" t="s">
        <v>721</v>
      </c>
      <c r="R3" s="630" t="s">
        <v>722</v>
      </c>
      <c r="S3" s="660" t="s">
        <v>1</v>
      </c>
      <c r="T3" s="660"/>
      <c r="U3" s="654" t="s">
        <v>2</v>
      </c>
      <c r="V3" s="654" t="s">
        <v>723</v>
      </c>
      <c r="W3" s="617" t="s">
        <v>724</v>
      </c>
      <c r="X3" s="617"/>
      <c r="Y3" s="655" t="s">
        <v>725</v>
      </c>
      <c r="Z3" s="614"/>
      <c r="AA3" s="656" t="s">
        <v>726</v>
      </c>
      <c r="AB3" s="657"/>
      <c r="AC3" s="655" t="s">
        <v>727</v>
      </c>
      <c r="AD3" s="614"/>
      <c r="AE3" s="649" t="s">
        <v>728</v>
      </c>
      <c r="AF3" s="650" t="s">
        <v>729</v>
      </c>
      <c r="AG3" s="630" t="s">
        <v>730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200" t="s">
        <v>3</v>
      </c>
      <c r="T4" s="200" t="s">
        <v>4</v>
      </c>
      <c r="U4" s="654"/>
      <c r="V4" s="654"/>
      <c r="W4" s="196" t="s">
        <v>731</v>
      </c>
      <c r="X4" s="196" t="s">
        <v>732</v>
      </c>
      <c r="Y4" s="194" t="s">
        <v>733</v>
      </c>
      <c r="Z4" s="194" t="s">
        <v>734</v>
      </c>
      <c r="AA4" s="658"/>
      <c r="AB4" s="657"/>
      <c r="AC4" s="194" t="s">
        <v>735</v>
      </c>
      <c r="AD4" s="194" t="s">
        <v>736</v>
      </c>
      <c r="AE4" s="649"/>
      <c r="AF4" s="650"/>
      <c r="AG4" s="630"/>
    </row>
    <row r="5" spans="1:33">
      <c r="A5" s="651" t="s">
        <v>737</v>
      </c>
      <c r="B5" s="29" t="s">
        <v>15</v>
      </c>
      <c r="C5" s="653" t="s">
        <v>17</v>
      </c>
      <c r="D5" s="653"/>
      <c r="E5" s="29">
        <v>50.67</v>
      </c>
      <c r="F5" s="200">
        <v>1730</v>
      </c>
      <c r="G5" s="196">
        <f t="shared" ref="G5:G8" si="0">E5*F5</f>
        <v>87659.1</v>
      </c>
      <c r="H5" s="33" t="s">
        <v>57</v>
      </c>
      <c r="I5" s="198">
        <v>15</v>
      </c>
      <c r="J5" s="31">
        <v>2000</v>
      </c>
      <c r="K5" s="12">
        <f t="shared" ref="K5:K68" si="1">J5/I5</f>
        <v>133.33333333333334</v>
      </c>
      <c r="L5" s="198">
        <v>15</v>
      </c>
      <c r="M5" s="13">
        <f t="shared" ref="M5:M8" si="2">F5/V5*60</f>
        <v>1922.2222222222231</v>
      </c>
      <c r="N5" s="12">
        <f t="shared" ref="N5:N68" si="3">M5/L5</f>
        <v>128.14814814814821</v>
      </c>
      <c r="O5" s="14">
        <f t="shared" ref="O5:O68" si="4">L5-I5</f>
        <v>0</v>
      </c>
      <c r="P5" s="15">
        <f t="shared" ref="P5:P68" si="5">N5-K5</f>
        <v>-5.1851851851851336</v>
      </c>
      <c r="Q5" s="195">
        <f t="shared" ref="Q5:Q68" si="6">N5/K5</f>
        <v>0.96111111111111147</v>
      </c>
      <c r="R5" s="615">
        <f>Q9</f>
        <v>0.9637076808302254</v>
      </c>
      <c r="S5" s="34">
        <v>0.70833333333333337</v>
      </c>
      <c r="T5" s="34">
        <v>0.74583333333333335</v>
      </c>
      <c r="U5" s="196"/>
      <c r="V5" s="199">
        <f t="shared" ref="V5:V8" si="7">(T5-S5)*24*60</f>
        <v>53.999999999999972</v>
      </c>
      <c r="W5" s="16"/>
      <c r="X5" s="17"/>
      <c r="Y5" s="17"/>
      <c r="Z5" s="17"/>
      <c r="AA5" s="617"/>
      <c r="AB5" s="617"/>
      <c r="AC5" s="35">
        <v>4</v>
      </c>
      <c r="AD5" s="18"/>
      <c r="AE5" s="14">
        <f t="shared" ref="AE5:AE60" si="8">M5-J5</f>
        <v>-77.777777777776919</v>
      </c>
      <c r="AF5" s="195">
        <f t="shared" ref="AF5:AF68" si="9">M5/J5</f>
        <v>0.96111111111111158</v>
      </c>
      <c r="AG5" s="615">
        <f>AF9</f>
        <v>0.9637076808302254</v>
      </c>
    </row>
    <row r="6" spans="1:33">
      <c r="A6" s="652" t="s">
        <v>173</v>
      </c>
      <c r="B6" s="29" t="s">
        <v>15</v>
      </c>
      <c r="C6" s="653" t="s">
        <v>26</v>
      </c>
      <c r="D6" s="653"/>
      <c r="E6" s="29">
        <v>50.92</v>
      </c>
      <c r="F6" s="200">
        <v>2632</v>
      </c>
      <c r="G6" s="196">
        <f t="shared" si="0"/>
        <v>134021.44</v>
      </c>
      <c r="H6" s="33" t="s">
        <v>57</v>
      </c>
      <c r="I6" s="198">
        <v>15</v>
      </c>
      <c r="J6" s="31">
        <v>2000</v>
      </c>
      <c r="K6" s="12">
        <f t="shared" si="1"/>
        <v>133.33333333333334</v>
      </c>
      <c r="L6" s="198">
        <v>15</v>
      </c>
      <c r="M6" s="13">
        <f t="shared" si="2"/>
        <v>1925.8536585365848</v>
      </c>
      <c r="N6" s="12">
        <f t="shared" si="3"/>
        <v>128.39024390243898</v>
      </c>
      <c r="O6" s="14">
        <f t="shared" si="4"/>
        <v>0</v>
      </c>
      <c r="P6" s="15">
        <f t="shared" si="5"/>
        <v>-4.9430894308943607</v>
      </c>
      <c r="Q6" s="195">
        <f t="shared" si="6"/>
        <v>0.96292682926829232</v>
      </c>
      <c r="R6" s="615"/>
      <c r="S6" s="34">
        <v>0.75069444444444444</v>
      </c>
      <c r="T6" s="34">
        <v>0.80763888888888891</v>
      </c>
      <c r="U6" s="196">
        <f t="shared" ref="U6:U8" si="10">IF(S6=TIME(17,0,0),"",(S6-T5)*24*60)</f>
        <v>6.9999999999999751</v>
      </c>
      <c r="V6" s="199">
        <f t="shared" si="7"/>
        <v>82.000000000000028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-74.146341463415183</v>
      </c>
      <c r="AF6" s="195">
        <f t="shared" si="9"/>
        <v>0.96292682926829243</v>
      </c>
      <c r="AG6" s="615"/>
    </row>
    <row r="7" spans="1:33">
      <c r="A7" s="652" t="s">
        <v>173</v>
      </c>
      <c r="B7" s="29" t="s">
        <v>15</v>
      </c>
      <c r="C7" s="644" t="s">
        <v>31</v>
      </c>
      <c r="D7" s="645"/>
      <c r="E7" s="29">
        <v>50.98</v>
      </c>
      <c r="F7" s="200">
        <v>1000</v>
      </c>
      <c r="G7" s="196">
        <f t="shared" si="0"/>
        <v>50980</v>
      </c>
      <c r="H7" s="33">
        <v>2</v>
      </c>
      <c r="I7" s="198">
        <v>16</v>
      </c>
      <c r="J7" s="31">
        <v>2000</v>
      </c>
      <c r="K7" s="12">
        <f t="shared" si="1"/>
        <v>125</v>
      </c>
      <c r="L7" s="198">
        <v>16</v>
      </c>
      <c r="M7" s="13">
        <f t="shared" si="2"/>
        <v>1935.483870967739</v>
      </c>
      <c r="N7" s="12">
        <f t="shared" si="3"/>
        <v>120.96774193548369</v>
      </c>
      <c r="O7" s="14">
        <f t="shared" si="4"/>
        <v>0</v>
      </c>
      <c r="P7" s="15">
        <f t="shared" si="5"/>
        <v>-4.0322580645163129</v>
      </c>
      <c r="Q7" s="195">
        <f t="shared" si="6"/>
        <v>0.96774193548386944</v>
      </c>
      <c r="R7" s="615"/>
      <c r="S7" s="34">
        <v>0.81111111111111112</v>
      </c>
      <c r="T7" s="34">
        <v>0.83263888888888893</v>
      </c>
      <c r="U7" s="196">
        <f t="shared" si="10"/>
        <v>4.9999999999999822</v>
      </c>
      <c r="V7" s="199">
        <f t="shared" si="7"/>
        <v>31.00000000000005</v>
      </c>
      <c r="W7" s="16">
        <f>T7</f>
        <v>0.83263888888888893</v>
      </c>
      <c r="X7" s="16">
        <f>S8</f>
        <v>0.87291666666666667</v>
      </c>
      <c r="Y7" s="19"/>
      <c r="Z7" s="19"/>
      <c r="AA7" s="624"/>
      <c r="AB7" s="625"/>
      <c r="AC7" s="35"/>
      <c r="AD7" s="20"/>
      <c r="AE7" s="14">
        <f t="shared" si="8"/>
        <v>-64.516129032261006</v>
      </c>
      <c r="AF7" s="195">
        <f t="shared" si="9"/>
        <v>0.96774193548386944</v>
      </c>
      <c r="AG7" s="615"/>
    </row>
    <row r="8" spans="1:33">
      <c r="A8" s="652" t="s">
        <v>173</v>
      </c>
      <c r="B8" s="29" t="s">
        <v>15</v>
      </c>
      <c r="C8" s="644" t="s">
        <v>31</v>
      </c>
      <c r="D8" s="645"/>
      <c r="E8" s="29">
        <v>50.98</v>
      </c>
      <c r="F8" s="200">
        <v>1894</v>
      </c>
      <c r="G8" s="196">
        <f t="shared" si="0"/>
        <v>96556.12</v>
      </c>
      <c r="H8" s="33" t="s">
        <v>57</v>
      </c>
      <c r="I8" s="198">
        <v>16</v>
      </c>
      <c r="J8" s="31">
        <v>2000</v>
      </c>
      <c r="K8" s="12">
        <f t="shared" si="1"/>
        <v>125</v>
      </c>
      <c r="L8" s="198">
        <v>16</v>
      </c>
      <c r="M8" s="13">
        <f t="shared" si="2"/>
        <v>1926.1016949152558</v>
      </c>
      <c r="N8" s="12">
        <f t="shared" si="3"/>
        <v>120.38135593220349</v>
      </c>
      <c r="O8" s="14">
        <f t="shared" si="4"/>
        <v>0</v>
      </c>
      <c r="P8" s="15">
        <f t="shared" si="5"/>
        <v>-4.6186440677965095</v>
      </c>
      <c r="Q8" s="195">
        <f t="shared" si="6"/>
        <v>0.96305084745762792</v>
      </c>
      <c r="R8" s="615"/>
      <c r="S8" s="34">
        <v>0.87291666666666667</v>
      </c>
      <c r="T8" s="34">
        <v>0.91388888888888886</v>
      </c>
      <c r="U8" s="196">
        <f t="shared" si="10"/>
        <v>57.999999999999957</v>
      </c>
      <c r="V8" s="199">
        <f t="shared" si="7"/>
        <v>58.99999999999995</v>
      </c>
      <c r="W8" s="21"/>
      <c r="X8" s="21"/>
      <c r="Y8" s="22"/>
      <c r="Z8" s="22"/>
      <c r="AA8" s="624"/>
      <c r="AB8" s="625"/>
      <c r="AC8" s="35"/>
      <c r="AD8" s="20"/>
      <c r="AE8" s="14">
        <f t="shared" si="8"/>
        <v>-73.898305084744152</v>
      </c>
      <c r="AF8" s="195">
        <f t="shared" si="9"/>
        <v>0.96305084745762792</v>
      </c>
      <c r="AG8" s="615"/>
    </row>
    <row r="9" spans="1:33">
      <c r="A9" s="652" t="s">
        <v>173</v>
      </c>
      <c r="B9" s="29" t="s">
        <v>6</v>
      </c>
      <c r="C9" s="618"/>
      <c r="D9" s="618"/>
      <c r="E9" s="197"/>
      <c r="F9" s="30"/>
      <c r="G9" s="12"/>
      <c r="H9" s="200"/>
      <c r="I9" s="23">
        <v>15.5</v>
      </c>
      <c r="J9" s="31">
        <v>2000</v>
      </c>
      <c r="K9" s="12">
        <f t="shared" si="1"/>
        <v>129.03225806451613</v>
      </c>
      <c r="L9" s="23">
        <v>15.5</v>
      </c>
      <c r="M9" s="13">
        <f>AVERAGE(M5:M8)</f>
        <v>1927.4153616604508</v>
      </c>
      <c r="N9" s="12">
        <f t="shared" si="3"/>
        <v>124.34937817164199</v>
      </c>
      <c r="O9" s="14">
        <f t="shared" si="4"/>
        <v>0</v>
      </c>
      <c r="P9" s="15">
        <f t="shared" si="5"/>
        <v>-4.6828798928741406</v>
      </c>
      <c r="Q9" s="195">
        <f t="shared" si="6"/>
        <v>0.9637076808302254</v>
      </c>
      <c r="R9" s="615"/>
      <c r="S9" s="34"/>
      <c r="T9" s="34"/>
      <c r="U9" s="196"/>
      <c r="V9" s="199"/>
      <c r="W9" s="12"/>
      <c r="X9" s="12"/>
      <c r="Y9" s="24">
        <f>SUM(Y5:Y8)</f>
        <v>0</v>
      </c>
      <c r="Z9" s="24">
        <f>SUM(Z5:Z8)</f>
        <v>0</v>
      </c>
      <c r="AA9" s="614"/>
      <c r="AB9" s="614"/>
      <c r="AC9" s="24">
        <v>4</v>
      </c>
      <c r="AD9" s="24">
        <f>SUM(AD5:AD8)</f>
        <v>0</v>
      </c>
      <c r="AE9" s="14">
        <f t="shared" si="8"/>
        <v>-72.584638339549201</v>
      </c>
      <c r="AF9" s="195">
        <f t="shared" si="9"/>
        <v>0.9637076808302254</v>
      </c>
      <c r="AG9" s="615"/>
    </row>
    <row r="10" spans="1:33" ht="15.75" customHeight="1">
      <c r="A10" s="648" t="s">
        <v>358</v>
      </c>
      <c r="B10" s="29" t="s">
        <v>19</v>
      </c>
      <c r="C10" s="644" t="s">
        <v>20</v>
      </c>
      <c r="D10" s="645"/>
      <c r="E10" s="29">
        <v>39.619999999999997</v>
      </c>
      <c r="F10" s="200">
        <v>6244</v>
      </c>
      <c r="G10" s="196">
        <f t="shared" ref="G10:G14" si="11">E10*F10</f>
        <v>247387.27999999997</v>
      </c>
      <c r="H10" s="33" t="s">
        <v>57</v>
      </c>
      <c r="I10" s="198">
        <v>19</v>
      </c>
      <c r="J10" s="31">
        <v>1500</v>
      </c>
      <c r="K10" s="12">
        <f t="shared" si="1"/>
        <v>78.94736842105263</v>
      </c>
      <c r="L10" s="198">
        <v>19</v>
      </c>
      <c r="M10" s="13">
        <f t="shared" ref="M10:M14" si="12">F10/V10*60</f>
        <v>1429.9236641221376</v>
      </c>
      <c r="N10" s="12">
        <f t="shared" si="3"/>
        <v>75.259140216954606</v>
      </c>
      <c r="O10" s="14">
        <f t="shared" si="4"/>
        <v>0</v>
      </c>
      <c r="P10" s="15">
        <f t="shared" si="5"/>
        <v>-3.6882282040980243</v>
      </c>
      <c r="Q10" s="195">
        <f t="shared" si="6"/>
        <v>0.95328244274809171</v>
      </c>
      <c r="R10" s="615">
        <f>Q15</f>
        <v>0.95479070165676605</v>
      </c>
      <c r="S10" s="34">
        <v>8.3333333333333329E-2</v>
      </c>
      <c r="T10" s="34">
        <v>0.26527777777777778</v>
      </c>
      <c r="U10" s="196"/>
      <c r="V10" s="199">
        <f t="shared" ref="V10:V14" si="13">(T10-S10)*24*60</f>
        <v>262</v>
      </c>
      <c r="W10" s="16">
        <f>T10</f>
        <v>0.26527777777777778</v>
      </c>
      <c r="X10" s="16">
        <f>S11</f>
        <v>0.28472222222222221</v>
      </c>
      <c r="Y10" s="16"/>
      <c r="Z10" s="16"/>
      <c r="AA10" s="617"/>
      <c r="AB10" s="617"/>
      <c r="AC10" s="35">
        <v>5</v>
      </c>
      <c r="AD10" s="18"/>
      <c r="AE10" s="14">
        <f t="shared" si="8"/>
        <v>-70.076335877862448</v>
      </c>
      <c r="AF10" s="195">
        <f t="shared" si="9"/>
        <v>0.95328244274809171</v>
      </c>
      <c r="AG10" s="615">
        <f>AF15</f>
        <v>0.95479070165676605</v>
      </c>
    </row>
    <row r="11" spans="1:33" ht="15.75" customHeight="1">
      <c r="A11" s="648" t="s">
        <v>358</v>
      </c>
      <c r="B11" s="29" t="s">
        <v>19</v>
      </c>
      <c r="C11" s="644" t="s">
        <v>83</v>
      </c>
      <c r="D11" s="645"/>
      <c r="E11" s="29">
        <v>39.46</v>
      </c>
      <c r="F11" s="200">
        <v>3400</v>
      </c>
      <c r="G11" s="196">
        <f t="shared" si="11"/>
        <v>134164</v>
      </c>
      <c r="H11" s="33">
        <v>2</v>
      </c>
      <c r="I11" s="198">
        <v>16</v>
      </c>
      <c r="J11" s="31">
        <v>1500</v>
      </c>
      <c r="K11" s="12">
        <f t="shared" si="1"/>
        <v>93.75</v>
      </c>
      <c r="L11" s="198">
        <v>16</v>
      </c>
      <c r="M11" s="13">
        <f t="shared" si="12"/>
        <v>1436.6197183098595</v>
      </c>
      <c r="N11" s="12">
        <f t="shared" si="3"/>
        <v>89.788732394366221</v>
      </c>
      <c r="O11" s="14">
        <f t="shared" si="4"/>
        <v>0</v>
      </c>
      <c r="P11" s="15">
        <f t="shared" si="5"/>
        <v>-3.961267605633779</v>
      </c>
      <c r="Q11" s="195">
        <f t="shared" si="6"/>
        <v>0.95774647887323971</v>
      </c>
      <c r="R11" s="615"/>
      <c r="S11" s="34">
        <v>0.28472222222222221</v>
      </c>
      <c r="T11" s="34">
        <v>0.3833333333333333</v>
      </c>
      <c r="U11" s="196">
        <f t="shared" ref="U11:U14" si="14">IF(S11=TIME(17,0,0),"",(S11-T10)*24*60)</f>
        <v>27.999999999999979</v>
      </c>
      <c r="V11" s="199">
        <f t="shared" si="13"/>
        <v>141.99999999999997</v>
      </c>
      <c r="W11" s="16"/>
      <c r="X11" s="16"/>
      <c r="Y11" s="16"/>
      <c r="Z11" s="16"/>
      <c r="AA11" s="617"/>
      <c r="AB11" s="617"/>
      <c r="AC11" s="35"/>
      <c r="AD11" s="18"/>
      <c r="AE11" s="14">
        <f t="shared" si="8"/>
        <v>-63.380281690140464</v>
      </c>
      <c r="AF11" s="195">
        <f t="shared" si="9"/>
        <v>0.95774647887323971</v>
      </c>
      <c r="AG11" s="615"/>
    </row>
    <row r="12" spans="1:33" ht="15.75" customHeight="1">
      <c r="A12" s="648" t="s">
        <v>358</v>
      </c>
      <c r="B12" s="29" t="s">
        <v>19</v>
      </c>
      <c r="C12" s="644" t="s">
        <v>21</v>
      </c>
      <c r="D12" s="645"/>
      <c r="E12" s="29">
        <v>39.799999999999997</v>
      </c>
      <c r="F12" s="200">
        <v>3600</v>
      </c>
      <c r="G12" s="196">
        <f t="shared" si="11"/>
        <v>143280</v>
      </c>
      <c r="H12" s="33">
        <v>2</v>
      </c>
      <c r="I12" s="198">
        <v>17</v>
      </c>
      <c r="J12" s="31">
        <v>1500</v>
      </c>
      <c r="K12" s="12">
        <f t="shared" si="1"/>
        <v>88.235294117647058</v>
      </c>
      <c r="L12" s="198">
        <v>17</v>
      </c>
      <c r="M12" s="13">
        <f t="shared" si="12"/>
        <v>1430.46357615894</v>
      </c>
      <c r="N12" s="12">
        <f t="shared" si="3"/>
        <v>84.144916244643525</v>
      </c>
      <c r="O12" s="14">
        <f t="shared" si="4"/>
        <v>0</v>
      </c>
      <c r="P12" s="15">
        <f t="shared" si="5"/>
        <v>-4.0903778730035327</v>
      </c>
      <c r="Q12" s="195">
        <f t="shared" si="6"/>
        <v>0.95364238410595992</v>
      </c>
      <c r="R12" s="615"/>
      <c r="S12" s="34">
        <v>0.38680555555555551</v>
      </c>
      <c r="T12" s="34">
        <v>0.49166666666666664</v>
      </c>
      <c r="U12" s="196">
        <f t="shared" si="14"/>
        <v>4.9999999999999822</v>
      </c>
      <c r="V12" s="199">
        <f t="shared" si="13"/>
        <v>151.00000000000003</v>
      </c>
      <c r="W12" s="16">
        <f>T12</f>
        <v>0.49166666666666664</v>
      </c>
      <c r="X12" s="16">
        <f>S13</f>
        <v>0.53333333333333321</v>
      </c>
      <c r="Y12" s="16"/>
      <c r="Z12" s="16"/>
      <c r="AA12" s="617"/>
      <c r="AB12" s="617"/>
      <c r="AC12" s="35"/>
      <c r="AD12" s="18"/>
      <c r="AE12" s="14">
        <f t="shared" si="8"/>
        <v>-69.536423841060014</v>
      </c>
      <c r="AF12" s="195">
        <f t="shared" si="9"/>
        <v>0.95364238410596003</v>
      </c>
      <c r="AG12" s="615"/>
    </row>
    <row r="13" spans="1:33" ht="15.75" customHeight="1">
      <c r="A13" s="648" t="s">
        <v>358</v>
      </c>
      <c r="B13" s="29" t="s">
        <v>19</v>
      </c>
      <c r="C13" s="644" t="s">
        <v>21</v>
      </c>
      <c r="D13" s="645"/>
      <c r="E13" s="29">
        <v>39.799999999999997</v>
      </c>
      <c r="F13" s="200">
        <v>5376</v>
      </c>
      <c r="G13" s="196">
        <f t="shared" si="11"/>
        <v>213964.79999999999</v>
      </c>
      <c r="H13" s="33" t="s">
        <v>57</v>
      </c>
      <c r="I13" s="198">
        <v>17</v>
      </c>
      <c r="J13" s="31">
        <v>1500</v>
      </c>
      <c r="K13" s="12">
        <f t="shared" si="1"/>
        <v>88.235294117647058</v>
      </c>
      <c r="L13" s="198">
        <v>17</v>
      </c>
      <c r="M13" s="13">
        <f t="shared" si="12"/>
        <v>1427.2566371681417</v>
      </c>
      <c r="N13" s="12">
        <f t="shared" si="3"/>
        <v>83.95627277459657</v>
      </c>
      <c r="O13" s="14">
        <f t="shared" si="4"/>
        <v>0</v>
      </c>
      <c r="P13" s="15">
        <f t="shared" si="5"/>
        <v>-4.2790213430504878</v>
      </c>
      <c r="Q13" s="195">
        <f t="shared" si="6"/>
        <v>0.95150442477876118</v>
      </c>
      <c r="R13" s="615"/>
      <c r="S13" s="34">
        <v>0.53333333333333321</v>
      </c>
      <c r="T13" s="34">
        <v>0.69027777777777766</v>
      </c>
      <c r="U13" s="196">
        <f t="shared" si="14"/>
        <v>59.999999999999865</v>
      </c>
      <c r="V13" s="199">
        <f t="shared" si="13"/>
        <v>226</v>
      </c>
      <c r="W13" s="16"/>
      <c r="X13" s="16"/>
      <c r="Y13" s="16"/>
      <c r="Z13" s="16"/>
      <c r="AA13" s="624"/>
      <c r="AB13" s="625"/>
      <c r="AC13" s="35"/>
      <c r="AD13" s="18"/>
      <c r="AE13" s="14">
        <f t="shared" si="8"/>
        <v>-72.743362831858349</v>
      </c>
      <c r="AF13" s="195">
        <f t="shared" si="9"/>
        <v>0.95150442477876107</v>
      </c>
      <c r="AG13" s="615"/>
    </row>
    <row r="14" spans="1:33" ht="15.75" customHeight="1">
      <c r="A14" s="648" t="s">
        <v>358</v>
      </c>
      <c r="B14" s="29" t="s">
        <v>19</v>
      </c>
      <c r="C14" s="644" t="s">
        <v>83</v>
      </c>
      <c r="D14" s="645"/>
      <c r="E14" s="29">
        <v>39.46</v>
      </c>
      <c r="F14" s="200">
        <v>2586</v>
      </c>
      <c r="G14" s="196">
        <f t="shared" si="11"/>
        <v>102043.56</v>
      </c>
      <c r="H14" s="33" t="s">
        <v>57</v>
      </c>
      <c r="I14" s="198">
        <v>16</v>
      </c>
      <c r="J14" s="31">
        <v>1500</v>
      </c>
      <c r="K14" s="12">
        <f t="shared" si="1"/>
        <v>93.75</v>
      </c>
      <c r="L14" s="198">
        <v>16</v>
      </c>
      <c r="M14" s="13">
        <f t="shared" si="12"/>
        <v>1436.6666666666674</v>
      </c>
      <c r="N14" s="12">
        <f t="shared" si="3"/>
        <v>89.791666666666714</v>
      </c>
      <c r="O14" s="14">
        <f t="shared" si="4"/>
        <v>0</v>
      </c>
      <c r="P14" s="15">
        <f t="shared" si="5"/>
        <v>-3.958333333333286</v>
      </c>
      <c r="Q14" s="195">
        <f t="shared" si="6"/>
        <v>0.95777777777777828</v>
      </c>
      <c r="R14" s="615"/>
      <c r="S14" s="34">
        <v>0.69444444444444431</v>
      </c>
      <c r="T14" s="34">
        <v>0.76944444444444426</v>
      </c>
      <c r="U14" s="196">
        <f t="shared" si="14"/>
        <v>5.9999999999999787</v>
      </c>
      <c r="V14" s="199">
        <f t="shared" si="13"/>
        <v>107.99999999999994</v>
      </c>
      <c r="W14" s="16"/>
      <c r="X14" s="16"/>
      <c r="Y14" s="19"/>
      <c r="Z14" s="19"/>
      <c r="AA14" s="624"/>
      <c r="AB14" s="625"/>
      <c r="AC14" s="35"/>
      <c r="AD14" s="18"/>
      <c r="AE14" s="14">
        <f t="shared" si="8"/>
        <v>-63.333333333332575</v>
      </c>
      <c r="AF14" s="195">
        <f t="shared" si="9"/>
        <v>0.95777777777777828</v>
      </c>
      <c r="AG14" s="615"/>
    </row>
    <row r="15" spans="1:33" ht="16.5" customHeight="1">
      <c r="A15" s="648" t="s">
        <v>358</v>
      </c>
      <c r="B15" s="29" t="s">
        <v>6</v>
      </c>
      <c r="C15" s="618"/>
      <c r="D15" s="618"/>
      <c r="E15" s="197"/>
      <c r="F15" s="31"/>
      <c r="G15" s="13"/>
      <c r="H15" s="200"/>
      <c r="I15" s="23">
        <v>17</v>
      </c>
      <c r="J15" s="31">
        <v>1500</v>
      </c>
      <c r="K15" s="12">
        <f t="shared" si="1"/>
        <v>88.235294117647058</v>
      </c>
      <c r="L15" s="23">
        <v>17</v>
      </c>
      <c r="M15" s="13">
        <f>AVERAGE(M10:M14)</f>
        <v>1432.186052485149</v>
      </c>
      <c r="N15" s="12">
        <f t="shared" si="3"/>
        <v>84.246238381479358</v>
      </c>
      <c r="O15" s="14">
        <f t="shared" si="4"/>
        <v>0</v>
      </c>
      <c r="P15" s="15">
        <f t="shared" si="5"/>
        <v>-3.9890557361676997</v>
      </c>
      <c r="Q15" s="195">
        <f t="shared" si="6"/>
        <v>0.95479070165676605</v>
      </c>
      <c r="R15" s="615"/>
      <c r="S15" s="34"/>
      <c r="T15" s="34"/>
      <c r="U15" s="12"/>
      <c r="V15" s="199"/>
      <c r="W15" s="12"/>
      <c r="X15" s="12"/>
      <c r="Y15" s="24">
        <f>SUM(Y10:Y14)</f>
        <v>0</v>
      </c>
      <c r="Z15" s="24">
        <f>SUM(Z10:Z14)</f>
        <v>0</v>
      </c>
      <c r="AA15" s="614"/>
      <c r="AB15" s="614"/>
      <c r="AC15" s="24">
        <v>5</v>
      </c>
      <c r="AD15" s="24">
        <f>SUM(AD10:AD14)</f>
        <v>0</v>
      </c>
      <c r="AE15" s="14">
        <f t="shared" si="8"/>
        <v>-67.813947514850952</v>
      </c>
      <c r="AF15" s="195">
        <f t="shared" si="9"/>
        <v>0.95479070165676605</v>
      </c>
      <c r="AG15" s="615"/>
    </row>
    <row r="16" spans="1:33" ht="16.5" customHeight="1">
      <c r="A16" s="646" t="s">
        <v>176</v>
      </c>
      <c r="B16" s="200" t="s">
        <v>22</v>
      </c>
      <c r="C16" s="640" t="s">
        <v>23</v>
      </c>
      <c r="D16" s="640"/>
      <c r="E16" s="29">
        <v>41</v>
      </c>
      <c r="F16" s="200">
        <v>2233</v>
      </c>
      <c r="G16" s="196">
        <f t="shared" ref="G16:G23" si="15">E16*F16</f>
        <v>91553</v>
      </c>
      <c r="H16" s="33" t="s">
        <v>57</v>
      </c>
      <c r="I16" s="198">
        <v>26</v>
      </c>
      <c r="J16" s="31">
        <v>1500</v>
      </c>
      <c r="K16" s="12">
        <f t="shared" si="1"/>
        <v>57.692307692307693</v>
      </c>
      <c r="L16" s="198">
        <v>26</v>
      </c>
      <c r="M16" s="13">
        <f t="shared" ref="M16:M23" si="16">F16/V16*60</f>
        <v>1440.6451612903224</v>
      </c>
      <c r="N16" s="12">
        <f t="shared" si="3"/>
        <v>55.409429280397021</v>
      </c>
      <c r="O16" s="14">
        <f t="shared" si="4"/>
        <v>0</v>
      </c>
      <c r="P16" s="15">
        <f t="shared" si="5"/>
        <v>-2.2828784119106729</v>
      </c>
      <c r="Q16" s="195">
        <f t="shared" si="6"/>
        <v>0.96043010752688163</v>
      </c>
      <c r="R16" s="615">
        <f>Q24</f>
        <v>0.95546585236181125</v>
      </c>
      <c r="S16" s="34">
        <v>8.3333333333333329E-2</v>
      </c>
      <c r="T16" s="34">
        <v>0.14791666666666667</v>
      </c>
      <c r="U16" s="196"/>
      <c r="V16" s="199">
        <f t="shared" ref="V16:V23" si="17">(T16-S16)*24*60</f>
        <v>93.000000000000014</v>
      </c>
      <c r="W16" s="16">
        <f>T16</f>
        <v>0.14791666666666667</v>
      </c>
      <c r="X16" s="16">
        <f>S17</f>
        <v>0.16597222222222222</v>
      </c>
      <c r="Y16" s="21"/>
      <c r="Z16" s="21"/>
      <c r="AA16" s="617"/>
      <c r="AB16" s="617"/>
      <c r="AC16" s="35">
        <v>8</v>
      </c>
      <c r="AD16" s="18"/>
      <c r="AE16" s="14">
        <f t="shared" si="8"/>
        <v>-59.354838709677551</v>
      </c>
      <c r="AF16" s="195">
        <f t="shared" si="9"/>
        <v>0.96043010752688163</v>
      </c>
      <c r="AG16" s="615">
        <f>AF24</f>
        <v>0.95546585236181136</v>
      </c>
    </row>
    <row r="17" spans="1:33" ht="16.5" customHeight="1">
      <c r="A17" s="647" t="s">
        <v>176</v>
      </c>
      <c r="B17" s="200" t="s">
        <v>22</v>
      </c>
      <c r="C17" s="640" t="s">
        <v>87</v>
      </c>
      <c r="D17" s="640"/>
      <c r="E17" s="29">
        <v>38.619999999999997</v>
      </c>
      <c r="F17" s="200">
        <v>2649</v>
      </c>
      <c r="G17" s="196">
        <f t="shared" si="15"/>
        <v>102304.37999999999</v>
      </c>
      <c r="H17" s="33" t="s">
        <v>57</v>
      </c>
      <c r="I17" s="198">
        <v>24</v>
      </c>
      <c r="J17" s="31">
        <v>1500</v>
      </c>
      <c r="K17" s="12">
        <f t="shared" si="1"/>
        <v>62.5</v>
      </c>
      <c r="L17" s="198">
        <v>24</v>
      </c>
      <c r="M17" s="13">
        <f t="shared" si="16"/>
        <v>1431.8918918918919</v>
      </c>
      <c r="N17" s="12">
        <f t="shared" si="3"/>
        <v>59.662162162162161</v>
      </c>
      <c r="O17" s="14">
        <f t="shared" si="4"/>
        <v>0</v>
      </c>
      <c r="P17" s="15">
        <f t="shared" si="5"/>
        <v>-2.8378378378378386</v>
      </c>
      <c r="Q17" s="195">
        <f t="shared" si="6"/>
        <v>0.95459459459459461</v>
      </c>
      <c r="R17" s="615"/>
      <c r="S17" s="34">
        <v>0.16597222222222222</v>
      </c>
      <c r="T17" s="34">
        <v>0.24305555555555555</v>
      </c>
      <c r="U17" s="196">
        <f t="shared" ref="U17:U23" si="18">IF(S17=TIME(17,0,0),"",(S17-T16)*24*60)</f>
        <v>25.999999999999986</v>
      </c>
      <c r="V17" s="199">
        <f t="shared" si="17"/>
        <v>111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-68.108108108108127</v>
      </c>
      <c r="AF17" s="195">
        <f t="shared" si="9"/>
        <v>0.95459459459459461</v>
      </c>
      <c r="AG17" s="615"/>
    </row>
    <row r="18" spans="1:33" ht="16.5" customHeight="1">
      <c r="A18" s="647" t="s">
        <v>176</v>
      </c>
      <c r="B18" s="200" t="s">
        <v>15</v>
      </c>
      <c r="C18" s="640" t="s">
        <v>86</v>
      </c>
      <c r="D18" s="640"/>
      <c r="E18" s="29">
        <v>37.03</v>
      </c>
      <c r="F18" s="200">
        <v>4140</v>
      </c>
      <c r="G18" s="196">
        <f t="shared" si="15"/>
        <v>153304.20000000001</v>
      </c>
      <c r="H18" s="33" t="s">
        <v>57</v>
      </c>
      <c r="I18" s="198">
        <v>13</v>
      </c>
      <c r="J18" s="31">
        <v>1500</v>
      </c>
      <c r="K18" s="12">
        <f t="shared" si="1"/>
        <v>115.38461538461539</v>
      </c>
      <c r="L18" s="198">
        <v>13</v>
      </c>
      <c r="M18" s="13">
        <f t="shared" si="16"/>
        <v>1427.5862068965514</v>
      </c>
      <c r="N18" s="12">
        <f t="shared" si="3"/>
        <v>109.81432360742703</v>
      </c>
      <c r="O18" s="14">
        <f t="shared" si="4"/>
        <v>0</v>
      </c>
      <c r="P18" s="15">
        <f t="shared" si="5"/>
        <v>-5.5702917771883591</v>
      </c>
      <c r="Q18" s="195">
        <f t="shared" si="6"/>
        <v>0.95172413793103428</v>
      </c>
      <c r="R18" s="615"/>
      <c r="S18" s="34">
        <v>0.24861111111111112</v>
      </c>
      <c r="T18" s="34">
        <v>0.36944444444444446</v>
      </c>
      <c r="U18" s="196">
        <f t="shared" si="18"/>
        <v>8.0000000000000107</v>
      </c>
      <c r="V18" s="199">
        <f t="shared" si="17"/>
        <v>174.00000000000003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-72.413793103448597</v>
      </c>
      <c r="AF18" s="195">
        <f t="shared" si="9"/>
        <v>0.95172413793103428</v>
      </c>
      <c r="AG18" s="615"/>
    </row>
    <row r="19" spans="1:33" ht="16.5" customHeight="1">
      <c r="A19" s="647" t="s">
        <v>176</v>
      </c>
      <c r="B19" s="200" t="s">
        <v>19</v>
      </c>
      <c r="C19" s="640" t="s">
        <v>267</v>
      </c>
      <c r="D19" s="640"/>
      <c r="E19" s="29">
        <v>39.520000000000003</v>
      </c>
      <c r="F19" s="200">
        <v>3500</v>
      </c>
      <c r="G19" s="196">
        <f t="shared" si="15"/>
        <v>138320</v>
      </c>
      <c r="H19" s="33">
        <v>2</v>
      </c>
      <c r="I19" s="198">
        <v>19</v>
      </c>
      <c r="J19" s="31">
        <v>1500</v>
      </c>
      <c r="K19" s="12">
        <f t="shared" si="1"/>
        <v>78.94736842105263</v>
      </c>
      <c r="L19" s="198">
        <v>19</v>
      </c>
      <c r="M19" s="13">
        <f t="shared" si="16"/>
        <v>1428.5714285714284</v>
      </c>
      <c r="N19" s="12">
        <f t="shared" si="3"/>
        <v>75.187969924812023</v>
      </c>
      <c r="O19" s="14">
        <f t="shared" si="4"/>
        <v>0</v>
      </c>
      <c r="P19" s="15">
        <f t="shared" si="5"/>
        <v>-3.7593984962406068</v>
      </c>
      <c r="Q19" s="195">
        <f t="shared" si="6"/>
        <v>0.95238095238095233</v>
      </c>
      <c r="R19" s="615"/>
      <c r="S19" s="34">
        <v>0.375</v>
      </c>
      <c r="T19" s="34">
        <v>0.47708333333333336</v>
      </c>
      <c r="U19" s="196">
        <f t="shared" si="18"/>
        <v>7.9999999999999716</v>
      </c>
      <c r="V19" s="199">
        <f t="shared" si="17"/>
        <v>147.00000000000003</v>
      </c>
      <c r="W19" s="16">
        <f>T19</f>
        <v>0.47708333333333336</v>
      </c>
      <c r="X19" s="16">
        <f>S20</f>
        <v>0.51527777777777783</v>
      </c>
      <c r="Y19" s="16"/>
      <c r="Z19" s="16"/>
      <c r="AA19" s="617"/>
      <c r="AB19" s="617"/>
      <c r="AC19" s="35"/>
      <c r="AD19" s="18"/>
      <c r="AE19" s="14">
        <f t="shared" si="8"/>
        <v>-71.428571428571558</v>
      </c>
      <c r="AF19" s="195">
        <f t="shared" si="9"/>
        <v>0.95238095238095233</v>
      </c>
      <c r="AG19" s="615"/>
    </row>
    <row r="20" spans="1:33" ht="16.5" customHeight="1">
      <c r="A20" s="647" t="s">
        <v>176</v>
      </c>
      <c r="B20" s="200" t="s">
        <v>19</v>
      </c>
      <c r="C20" s="640" t="s">
        <v>267</v>
      </c>
      <c r="D20" s="640"/>
      <c r="E20" s="29">
        <v>39.520000000000003</v>
      </c>
      <c r="F20" s="200">
        <v>2294</v>
      </c>
      <c r="G20" s="196">
        <f t="shared" si="15"/>
        <v>90658.880000000005</v>
      </c>
      <c r="H20" s="33" t="s">
        <v>57</v>
      </c>
      <c r="I20" s="198">
        <v>19</v>
      </c>
      <c r="J20" s="31">
        <v>1500</v>
      </c>
      <c r="K20" s="12">
        <f t="shared" si="1"/>
        <v>78.94736842105263</v>
      </c>
      <c r="L20" s="198">
        <v>19</v>
      </c>
      <c r="M20" s="13">
        <f t="shared" si="16"/>
        <v>1433.7500000000005</v>
      </c>
      <c r="N20" s="12">
        <f t="shared" si="3"/>
        <v>75.460526315789494</v>
      </c>
      <c r="O20" s="14">
        <f t="shared" si="4"/>
        <v>0</v>
      </c>
      <c r="P20" s="15">
        <f t="shared" si="5"/>
        <v>-3.4868421052631362</v>
      </c>
      <c r="Q20" s="195">
        <f t="shared" si="6"/>
        <v>0.95583333333333365</v>
      </c>
      <c r="R20" s="615"/>
      <c r="S20" s="34">
        <v>0.51527777777777783</v>
      </c>
      <c r="T20" s="34">
        <v>0.58194444444444449</v>
      </c>
      <c r="U20" s="196">
        <f t="shared" si="18"/>
        <v>55.000000000000043</v>
      </c>
      <c r="V20" s="199">
        <f t="shared" si="17"/>
        <v>95.999999999999972</v>
      </c>
      <c r="W20" s="16"/>
      <c r="X20" s="16"/>
      <c r="Y20" s="16"/>
      <c r="Z20" s="16"/>
      <c r="AA20" s="617"/>
      <c r="AB20" s="617"/>
      <c r="AC20" s="35"/>
      <c r="AD20" s="18"/>
      <c r="AE20" s="14">
        <f t="shared" si="8"/>
        <v>-66.249999999999545</v>
      </c>
      <c r="AF20" s="195">
        <f t="shared" si="9"/>
        <v>0.95583333333333365</v>
      </c>
      <c r="AG20" s="615"/>
    </row>
    <row r="21" spans="1:33" ht="16.5" customHeight="1">
      <c r="A21" s="647" t="s">
        <v>176</v>
      </c>
      <c r="B21" s="200" t="s">
        <v>15</v>
      </c>
      <c r="C21" s="202" t="s">
        <v>25</v>
      </c>
      <c r="D21" s="203"/>
      <c r="E21" s="29">
        <v>53.68</v>
      </c>
      <c r="F21" s="200">
        <v>1407</v>
      </c>
      <c r="G21" s="196">
        <f t="shared" si="15"/>
        <v>75527.759999999995</v>
      </c>
      <c r="H21" s="33" t="s">
        <v>57</v>
      </c>
      <c r="I21" s="198">
        <v>16</v>
      </c>
      <c r="J21" s="31">
        <v>1500</v>
      </c>
      <c r="K21" s="12">
        <f t="shared" si="1"/>
        <v>93.75</v>
      </c>
      <c r="L21" s="198">
        <v>16</v>
      </c>
      <c r="M21" s="13">
        <f t="shared" si="16"/>
        <v>1430.8474576271199</v>
      </c>
      <c r="N21" s="12">
        <f t="shared" si="3"/>
        <v>89.427966101694992</v>
      </c>
      <c r="O21" s="14">
        <f t="shared" si="4"/>
        <v>0</v>
      </c>
      <c r="P21" s="15">
        <f t="shared" si="5"/>
        <v>-4.3220338983050084</v>
      </c>
      <c r="Q21" s="195">
        <f t="shared" si="6"/>
        <v>0.9538983050847466</v>
      </c>
      <c r="R21" s="615"/>
      <c r="S21" s="34">
        <v>0.70833333333333337</v>
      </c>
      <c r="T21" s="34">
        <v>0.74930555555555556</v>
      </c>
      <c r="U21" s="196" t="str">
        <f t="shared" si="18"/>
        <v/>
      </c>
      <c r="V21" s="199">
        <f t="shared" si="17"/>
        <v>58.99999999999995</v>
      </c>
      <c r="W21" s="16"/>
      <c r="X21" s="16"/>
      <c r="Y21" s="19"/>
      <c r="Z21" s="19"/>
      <c r="AA21" s="191"/>
      <c r="AB21" s="192"/>
      <c r="AC21" s="35"/>
      <c r="AD21" s="18"/>
      <c r="AE21" s="14">
        <f t="shared" si="8"/>
        <v>-69.152542372880134</v>
      </c>
      <c r="AF21" s="195">
        <f t="shared" si="9"/>
        <v>0.9538983050847466</v>
      </c>
      <c r="AG21" s="615"/>
    </row>
    <row r="22" spans="1:33" ht="16.5" customHeight="1">
      <c r="A22" s="647" t="s">
        <v>176</v>
      </c>
      <c r="B22" s="200" t="s">
        <v>15</v>
      </c>
      <c r="C22" s="202" t="s">
        <v>18</v>
      </c>
      <c r="D22" s="203"/>
      <c r="E22" s="29">
        <v>52.86</v>
      </c>
      <c r="F22" s="200">
        <v>1598</v>
      </c>
      <c r="G22" s="196">
        <f t="shared" si="15"/>
        <v>84470.28</v>
      </c>
      <c r="H22" s="33" t="s">
        <v>57</v>
      </c>
      <c r="I22" s="198">
        <v>16</v>
      </c>
      <c r="J22" s="31">
        <v>2000</v>
      </c>
      <c r="K22" s="12">
        <f t="shared" si="1"/>
        <v>125</v>
      </c>
      <c r="L22" s="198">
        <v>16</v>
      </c>
      <c r="M22" s="13">
        <f t="shared" si="16"/>
        <v>1917.6000000000004</v>
      </c>
      <c r="N22" s="12">
        <f t="shared" si="3"/>
        <v>119.85000000000002</v>
      </c>
      <c r="O22" s="14">
        <f t="shared" si="4"/>
        <v>0</v>
      </c>
      <c r="P22" s="15">
        <f t="shared" si="5"/>
        <v>-5.1499999999999773</v>
      </c>
      <c r="Q22" s="195">
        <f t="shared" si="6"/>
        <v>0.95880000000000021</v>
      </c>
      <c r="R22" s="615"/>
      <c r="S22" s="34">
        <v>0.75347222222222221</v>
      </c>
      <c r="T22" s="34">
        <v>0.78819444444444442</v>
      </c>
      <c r="U22" s="196">
        <f t="shared" si="18"/>
        <v>5.9999999999999787</v>
      </c>
      <c r="V22" s="199">
        <f t="shared" si="17"/>
        <v>49.999999999999986</v>
      </c>
      <c r="W22" s="16"/>
      <c r="X22" s="16"/>
      <c r="Y22" s="19"/>
      <c r="Z22" s="19"/>
      <c r="AA22" s="191"/>
      <c r="AB22" s="192"/>
      <c r="AC22" s="35"/>
      <c r="AD22" s="18"/>
      <c r="AE22" s="14">
        <f t="shared" si="8"/>
        <v>-82.399999999999636</v>
      </c>
      <c r="AF22" s="195">
        <f t="shared" si="9"/>
        <v>0.95880000000000021</v>
      </c>
      <c r="AG22" s="615"/>
    </row>
    <row r="23" spans="1:33" ht="16.5" customHeight="1">
      <c r="A23" s="647" t="s">
        <v>176</v>
      </c>
      <c r="B23" s="200" t="s">
        <v>15</v>
      </c>
      <c r="C23" s="202" t="s">
        <v>16</v>
      </c>
      <c r="D23" s="203"/>
      <c r="E23" s="29">
        <v>50.67</v>
      </c>
      <c r="F23" s="200">
        <v>1942</v>
      </c>
      <c r="G23" s="196">
        <f t="shared" si="15"/>
        <v>98401.14</v>
      </c>
      <c r="H23" s="33" t="s">
        <v>57</v>
      </c>
      <c r="I23" s="198">
        <v>17</v>
      </c>
      <c r="J23" s="31">
        <v>2000</v>
      </c>
      <c r="K23" s="12">
        <f t="shared" si="1"/>
        <v>117.64705882352941</v>
      </c>
      <c r="L23" s="198">
        <v>17</v>
      </c>
      <c r="M23" s="13">
        <f t="shared" si="16"/>
        <v>1910.1639344262314</v>
      </c>
      <c r="N23" s="12">
        <f t="shared" si="3"/>
        <v>112.36258437801361</v>
      </c>
      <c r="O23" s="14">
        <f t="shared" si="4"/>
        <v>0</v>
      </c>
      <c r="P23" s="15">
        <f t="shared" si="5"/>
        <v>-5.2844744455157979</v>
      </c>
      <c r="Q23" s="195">
        <f t="shared" si="6"/>
        <v>0.95508196721311567</v>
      </c>
      <c r="R23" s="615"/>
      <c r="S23" s="34">
        <v>0.79374999999999996</v>
      </c>
      <c r="T23" s="34">
        <v>0.83611111111111103</v>
      </c>
      <c r="U23" s="196">
        <f t="shared" si="18"/>
        <v>7.9999999999999716</v>
      </c>
      <c r="V23" s="199">
        <f t="shared" si="17"/>
        <v>60.999999999999943</v>
      </c>
      <c r="W23" s="16"/>
      <c r="X23" s="16"/>
      <c r="Y23" s="19"/>
      <c r="Z23" s="19"/>
      <c r="AA23" s="191"/>
      <c r="AB23" s="192"/>
      <c r="AC23" s="35"/>
      <c r="AD23" s="18"/>
      <c r="AE23" s="14">
        <f t="shared" si="8"/>
        <v>-89.836065573768565</v>
      </c>
      <c r="AF23" s="195">
        <f t="shared" si="9"/>
        <v>0.95508196721311567</v>
      </c>
      <c r="AG23" s="615"/>
    </row>
    <row r="24" spans="1:33" ht="16.5" customHeight="1">
      <c r="A24" s="647" t="s">
        <v>176</v>
      </c>
      <c r="B24" s="29" t="s">
        <v>6</v>
      </c>
      <c r="C24" s="618"/>
      <c r="D24" s="618"/>
      <c r="E24" s="197"/>
      <c r="F24" s="30"/>
      <c r="G24" s="12"/>
      <c r="H24" s="200"/>
      <c r="I24" s="23">
        <v>18.75</v>
      </c>
      <c r="J24" s="31">
        <v>1625</v>
      </c>
      <c r="K24" s="12">
        <f t="shared" si="1"/>
        <v>86.666666666666671</v>
      </c>
      <c r="L24" s="23">
        <v>18.75</v>
      </c>
      <c r="M24" s="13">
        <f>AVERAGE(M16:M23)</f>
        <v>1552.6320100879434</v>
      </c>
      <c r="N24" s="12">
        <f t="shared" si="3"/>
        <v>82.807040538023642</v>
      </c>
      <c r="O24" s="14">
        <f t="shared" si="4"/>
        <v>0</v>
      </c>
      <c r="P24" s="15">
        <f t="shared" si="5"/>
        <v>-3.8596261286430291</v>
      </c>
      <c r="Q24" s="195">
        <f t="shared" si="6"/>
        <v>0.95546585236181125</v>
      </c>
      <c r="R24" s="615"/>
      <c r="S24" s="34"/>
      <c r="T24" s="34"/>
      <c r="U24" s="196"/>
      <c r="V24" s="199"/>
      <c r="W24" s="12"/>
      <c r="X24" s="12"/>
      <c r="Y24" s="24">
        <f>SUM(Y16:Y23)</f>
        <v>0</v>
      </c>
      <c r="Z24" s="24">
        <f>SUM(Z16:Z23)</f>
        <v>0</v>
      </c>
      <c r="AA24" s="614"/>
      <c r="AB24" s="614"/>
      <c r="AC24" s="24">
        <v>8</v>
      </c>
      <c r="AD24" s="24">
        <f>SUM(AD16:AD23)</f>
        <v>0</v>
      </c>
      <c r="AE24" s="14">
        <f t="shared" si="8"/>
        <v>-72.367989912056601</v>
      </c>
      <c r="AF24" s="195">
        <f t="shared" si="9"/>
        <v>0.95546585236181136</v>
      </c>
      <c r="AG24" s="615"/>
    </row>
    <row r="25" spans="1:33" ht="15.75" customHeight="1">
      <c r="A25" s="642" t="s">
        <v>269</v>
      </c>
      <c r="B25" s="29" t="s">
        <v>15</v>
      </c>
      <c r="C25" s="640" t="s">
        <v>24</v>
      </c>
      <c r="D25" s="640"/>
      <c r="E25" s="29">
        <v>54.09</v>
      </c>
      <c r="F25" s="200">
        <v>1845</v>
      </c>
      <c r="G25" s="196">
        <f t="shared" ref="G25:G30" si="19">E25*F25</f>
        <v>99796.05</v>
      </c>
      <c r="H25" s="33" t="s">
        <v>57</v>
      </c>
      <c r="I25" s="198">
        <v>17</v>
      </c>
      <c r="J25" s="31">
        <v>1500</v>
      </c>
      <c r="K25" s="12">
        <f t="shared" si="1"/>
        <v>88.235294117647058</v>
      </c>
      <c r="L25" s="198">
        <v>17</v>
      </c>
      <c r="M25" s="13">
        <f t="shared" ref="M25:M30" si="20">F25/V25*60</f>
        <v>1437.6623376623377</v>
      </c>
      <c r="N25" s="12">
        <f t="shared" si="3"/>
        <v>84.568372803666918</v>
      </c>
      <c r="O25" s="14">
        <f t="shared" si="4"/>
        <v>0</v>
      </c>
      <c r="P25" s="15">
        <f t="shared" si="5"/>
        <v>-3.66692131398014</v>
      </c>
      <c r="Q25" s="195">
        <f t="shared" si="6"/>
        <v>0.95844155844155843</v>
      </c>
      <c r="R25" s="615">
        <f>Q31</f>
        <v>0.9604902566993222</v>
      </c>
      <c r="S25" s="34">
        <v>0.20833333333333334</v>
      </c>
      <c r="T25" s="34">
        <v>0.26180555555555557</v>
      </c>
      <c r="U25" s="196"/>
      <c r="V25" s="199">
        <f t="shared" ref="V25:V30" si="21">(T25-S25)*24*60</f>
        <v>77</v>
      </c>
      <c r="W25" s="21"/>
      <c r="X25" s="21"/>
      <c r="Y25" s="21"/>
      <c r="Z25" s="21"/>
      <c r="AA25" s="617"/>
      <c r="AB25" s="617"/>
      <c r="AC25" s="35">
        <v>6</v>
      </c>
      <c r="AD25" s="18"/>
      <c r="AE25" s="14">
        <f t="shared" si="8"/>
        <v>-62.337662337662323</v>
      </c>
      <c r="AF25" s="195">
        <f t="shared" si="9"/>
        <v>0.95844155844155843</v>
      </c>
      <c r="AG25" s="615">
        <f>AF31</f>
        <v>0.9604902566993222</v>
      </c>
    </row>
    <row r="26" spans="1:33" ht="15.75" customHeight="1">
      <c r="A26" s="643" t="s">
        <v>269</v>
      </c>
      <c r="B26" s="29" t="s">
        <v>15</v>
      </c>
      <c r="C26" s="640" t="s">
        <v>28</v>
      </c>
      <c r="D26" s="640"/>
      <c r="E26" s="29">
        <v>50.67</v>
      </c>
      <c r="F26" s="200">
        <v>2495</v>
      </c>
      <c r="G26" s="196">
        <f t="shared" si="19"/>
        <v>126421.65000000001</v>
      </c>
      <c r="H26" s="33" t="s">
        <v>57</v>
      </c>
      <c r="I26" s="198">
        <v>17</v>
      </c>
      <c r="J26" s="31">
        <v>2000</v>
      </c>
      <c r="K26" s="12">
        <f t="shared" si="1"/>
        <v>117.64705882352941</v>
      </c>
      <c r="L26" s="198">
        <v>17</v>
      </c>
      <c r="M26" s="13">
        <f t="shared" si="20"/>
        <v>1919.2307692307702</v>
      </c>
      <c r="N26" s="12">
        <f t="shared" si="3"/>
        <v>112.89592760181002</v>
      </c>
      <c r="O26" s="14">
        <f t="shared" si="4"/>
        <v>0</v>
      </c>
      <c r="P26" s="15">
        <f t="shared" si="5"/>
        <v>-4.7511312217193904</v>
      </c>
      <c r="Q26" s="195">
        <f t="shared" si="6"/>
        <v>0.9596153846153852</v>
      </c>
      <c r="R26" s="615"/>
      <c r="S26" s="34">
        <v>0.26527777777777778</v>
      </c>
      <c r="T26" s="34">
        <v>0.31944444444444442</v>
      </c>
      <c r="U26" s="196">
        <f t="shared" ref="U26:U30" si="22">IF(S26=TIME(17,0,0),"",(S26-T25)*24*60)</f>
        <v>4.9999999999999822</v>
      </c>
      <c r="V26" s="199">
        <f t="shared" si="21"/>
        <v>77.999999999999957</v>
      </c>
      <c r="W26" s="16"/>
      <c r="X26" s="196"/>
      <c r="Y26" s="196"/>
      <c r="Z26" s="196"/>
      <c r="AA26" s="617"/>
      <c r="AB26" s="617"/>
      <c r="AC26" s="35"/>
      <c r="AD26" s="18"/>
      <c r="AE26" s="14">
        <f t="shared" si="8"/>
        <v>-80.769230769229807</v>
      </c>
      <c r="AF26" s="195">
        <f t="shared" si="9"/>
        <v>0.95961538461538509</v>
      </c>
      <c r="AG26" s="615"/>
    </row>
    <row r="27" spans="1:33" ht="15.75" customHeight="1">
      <c r="A27" s="643" t="s">
        <v>269</v>
      </c>
      <c r="B27" s="29" t="s">
        <v>15</v>
      </c>
      <c r="C27" s="640" t="s">
        <v>29</v>
      </c>
      <c r="D27" s="640"/>
      <c r="E27" s="29">
        <v>57.73</v>
      </c>
      <c r="F27" s="200">
        <v>3014</v>
      </c>
      <c r="G27" s="196">
        <f t="shared" si="19"/>
        <v>173998.22</v>
      </c>
      <c r="H27" s="33" t="s">
        <v>57</v>
      </c>
      <c r="I27" s="198">
        <v>14</v>
      </c>
      <c r="J27" s="31">
        <v>2000</v>
      </c>
      <c r="K27" s="12">
        <f t="shared" si="1"/>
        <v>142.85714285714286</v>
      </c>
      <c r="L27" s="198">
        <v>14</v>
      </c>
      <c r="M27" s="13">
        <f t="shared" si="20"/>
        <v>1923.8297872340429</v>
      </c>
      <c r="N27" s="12">
        <f t="shared" si="3"/>
        <v>137.41641337386019</v>
      </c>
      <c r="O27" s="14">
        <f t="shared" si="4"/>
        <v>0</v>
      </c>
      <c r="P27" s="15">
        <f t="shared" si="5"/>
        <v>-5.4407294832826665</v>
      </c>
      <c r="Q27" s="195">
        <f t="shared" si="6"/>
        <v>0.96191489361702132</v>
      </c>
      <c r="R27" s="615"/>
      <c r="S27" s="34">
        <v>0.32499999999999996</v>
      </c>
      <c r="T27" s="34">
        <v>0.39027777777777772</v>
      </c>
      <c r="U27" s="196">
        <f t="shared" si="22"/>
        <v>7.9999999999999716</v>
      </c>
      <c r="V27" s="199">
        <f t="shared" si="21"/>
        <v>93.999999999999986</v>
      </c>
      <c r="W27" s="16"/>
      <c r="X27" s="196"/>
      <c r="Y27" s="196"/>
      <c r="Z27" s="196"/>
      <c r="AA27" s="617"/>
      <c r="AB27" s="617"/>
      <c r="AC27" s="35"/>
      <c r="AD27" s="18"/>
      <c r="AE27" s="14">
        <f t="shared" si="8"/>
        <v>-76.170212765957103</v>
      </c>
      <c r="AF27" s="195">
        <f t="shared" si="9"/>
        <v>0.96191489361702143</v>
      </c>
      <c r="AG27" s="615"/>
    </row>
    <row r="28" spans="1:33" ht="15.75" customHeight="1">
      <c r="A28" s="643" t="s">
        <v>269</v>
      </c>
      <c r="B28" s="29" t="s">
        <v>15</v>
      </c>
      <c r="C28" s="640" t="s">
        <v>80</v>
      </c>
      <c r="D28" s="640"/>
      <c r="E28" s="29">
        <v>53.27</v>
      </c>
      <c r="F28" s="200">
        <v>2376</v>
      </c>
      <c r="G28" s="196">
        <f t="shared" si="19"/>
        <v>126569.52</v>
      </c>
      <c r="H28" s="33" t="s">
        <v>57</v>
      </c>
      <c r="I28" s="198">
        <v>16</v>
      </c>
      <c r="J28" s="31">
        <v>2000</v>
      </c>
      <c r="K28" s="12">
        <f t="shared" si="1"/>
        <v>125</v>
      </c>
      <c r="L28" s="198">
        <v>16</v>
      </c>
      <c r="M28" s="13">
        <f t="shared" si="20"/>
        <v>1926.4864864864871</v>
      </c>
      <c r="N28" s="12">
        <f t="shared" si="3"/>
        <v>120.40540540540545</v>
      </c>
      <c r="O28" s="14">
        <f t="shared" si="4"/>
        <v>0</v>
      </c>
      <c r="P28" s="15">
        <f t="shared" si="5"/>
        <v>-4.5945945945945539</v>
      </c>
      <c r="Q28" s="195">
        <f t="shared" si="6"/>
        <v>0.96324324324324362</v>
      </c>
      <c r="R28" s="615"/>
      <c r="S28" s="34">
        <v>0.39374999999999993</v>
      </c>
      <c r="T28" s="34">
        <v>0.44513888888888881</v>
      </c>
      <c r="U28" s="196">
        <f t="shared" si="22"/>
        <v>4.9999999999999822</v>
      </c>
      <c r="V28" s="199">
        <f t="shared" si="21"/>
        <v>73.999999999999972</v>
      </c>
      <c r="W28" s="16"/>
      <c r="X28" s="196"/>
      <c r="Y28" s="196"/>
      <c r="Z28" s="196"/>
      <c r="AA28" s="617"/>
      <c r="AB28" s="617"/>
      <c r="AC28" s="35"/>
      <c r="AD28" s="18"/>
      <c r="AE28" s="14">
        <f t="shared" si="8"/>
        <v>-73.513513513512862</v>
      </c>
      <c r="AF28" s="195">
        <f t="shared" si="9"/>
        <v>0.96324324324324362</v>
      </c>
      <c r="AG28" s="615"/>
    </row>
    <row r="29" spans="1:33" ht="15.75" customHeight="1">
      <c r="A29" s="643" t="s">
        <v>269</v>
      </c>
      <c r="B29" s="29" t="s">
        <v>15</v>
      </c>
      <c r="C29" s="640" t="s">
        <v>30</v>
      </c>
      <c r="D29" s="640"/>
      <c r="E29" s="29">
        <v>50.49</v>
      </c>
      <c r="F29" s="200">
        <v>2298</v>
      </c>
      <c r="G29" s="196">
        <f t="shared" si="19"/>
        <v>116026.02</v>
      </c>
      <c r="H29" s="33" t="s">
        <v>57</v>
      </c>
      <c r="I29" s="198">
        <v>15</v>
      </c>
      <c r="J29" s="31">
        <v>2000</v>
      </c>
      <c r="K29" s="12">
        <f t="shared" si="1"/>
        <v>133.33333333333334</v>
      </c>
      <c r="L29" s="198">
        <v>15</v>
      </c>
      <c r="M29" s="13">
        <f t="shared" si="20"/>
        <v>1914.9999999999986</v>
      </c>
      <c r="N29" s="12">
        <f t="shared" si="3"/>
        <v>127.66666666666657</v>
      </c>
      <c r="O29" s="14">
        <f t="shared" si="4"/>
        <v>0</v>
      </c>
      <c r="P29" s="15">
        <f t="shared" si="5"/>
        <v>-5.6666666666667709</v>
      </c>
      <c r="Q29" s="195">
        <f t="shared" si="6"/>
        <v>0.95749999999999924</v>
      </c>
      <c r="R29" s="615"/>
      <c r="S29" s="34">
        <v>0.70833333333333337</v>
      </c>
      <c r="T29" s="34">
        <v>0.75833333333333341</v>
      </c>
      <c r="U29" s="196" t="str">
        <f t="shared" si="22"/>
        <v/>
      </c>
      <c r="V29" s="199">
        <f t="shared" si="21"/>
        <v>72.000000000000057</v>
      </c>
      <c r="W29" s="16"/>
      <c r="X29" s="16"/>
      <c r="Y29" s="196"/>
      <c r="Z29" s="196"/>
      <c r="AA29" s="617"/>
      <c r="AB29" s="617"/>
      <c r="AC29" s="35"/>
      <c r="AD29" s="18"/>
      <c r="AE29" s="14">
        <f t="shared" si="8"/>
        <v>-85.000000000001364</v>
      </c>
      <c r="AF29" s="195">
        <f t="shared" si="9"/>
        <v>0.95749999999999935</v>
      </c>
      <c r="AG29" s="615"/>
    </row>
    <row r="30" spans="1:33" ht="15.75" customHeight="1">
      <c r="A30" s="643" t="s">
        <v>269</v>
      </c>
      <c r="B30" s="29" t="s">
        <v>15</v>
      </c>
      <c r="C30" s="640" t="s">
        <v>85</v>
      </c>
      <c r="D30" s="640"/>
      <c r="E30" s="29">
        <v>56.43</v>
      </c>
      <c r="F30" s="200">
        <v>2244</v>
      </c>
      <c r="G30" s="196">
        <f t="shared" si="19"/>
        <v>126628.92</v>
      </c>
      <c r="H30" s="33" t="s">
        <v>57</v>
      </c>
      <c r="I30" s="198">
        <v>13</v>
      </c>
      <c r="J30" s="31">
        <v>2000</v>
      </c>
      <c r="K30" s="12">
        <f t="shared" si="1"/>
        <v>153.84615384615384</v>
      </c>
      <c r="L30" s="198">
        <v>13</v>
      </c>
      <c r="M30" s="13">
        <f t="shared" si="20"/>
        <v>1923.4285714285693</v>
      </c>
      <c r="N30" s="12">
        <f t="shared" si="3"/>
        <v>147.9560439560438</v>
      </c>
      <c r="O30" s="14">
        <f t="shared" si="4"/>
        <v>0</v>
      </c>
      <c r="P30" s="15">
        <f t="shared" si="5"/>
        <v>-5.8901098901100397</v>
      </c>
      <c r="Q30" s="195">
        <f t="shared" si="6"/>
        <v>0.96171428571428474</v>
      </c>
      <c r="R30" s="615"/>
      <c r="S30" s="34">
        <v>0.76250000000000007</v>
      </c>
      <c r="T30" s="34">
        <v>0.81111111111111123</v>
      </c>
      <c r="U30" s="196">
        <f t="shared" si="22"/>
        <v>5.9999999999999787</v>
      </c>
      <c r="V30" s="199">
        <f t="shared" si="21"/>
        <v>70.000000000000071</v>
      </c>
      <c r="W30" s="16"/>
      <c r="X30" s="21"/>
      <c r="Y30" s="21"/>
      <c r="Z30" s="21"/>
      <c r="AA30" s="617"/>
      <c r="AB30" s="617"/>
      <c r="AC30" s="35"/>
      <c r="AD30" s="18"/>
      <c r="AE30" s="14">
        <f t="shared" si="8"/>
        <v>-76.571428571430715</v>
      </c>
      <c r="AF30" s="195">
        <f t="shared" si="9"/>
        <v>0.96171428571428463</v>
      </c>
      <c r="AG30" s="615"/>
    </row>
    <row r="31" spans="1:33" ht="15.75" customHeight="1">
      <c r="A31" s="643" t="s">
        <v>269</v>
      </c>
      <c r="B31" s="29" t="s">
        <v>6</v>
      </c>
      <c r="C31" s="618"/>
      <c r="D31" s="618"/>
      <c r="E31" s="197"/>
      <c r="F31" s="200"/>
      <c r="G31" s="196"/>
      <c r="H31" s="200"/>
      <c r="I31" s="23">
        <v>15.333333333333334</v>
      </c>
      <c r="J31" s="31">
        <v>1916.6666666666667</v>
      </c>
      <c r="K31" s="12">
        <f t="shared" si="1"/>
        <v>125</v>
      </c>
      <c r="L31" s="23">
        <v>15.333333333333334</v>
      </c>
      <c r="M31" s="13">
        <f>AVERAGE(M25:M30)</f>
        <v>1840.9396586737009</v>
      </c>
      <c r="N31" s="12">
        <f t="shared" si="3"/>
        <v>120.06128208741528</v>
      </c>
      <c r="O31" s="14">
        <f t="shared" si="4"/>
        <v>0</v>
      </c>
      <c r="P31" s="15">
        <f t="shared" si="5"/>
        <v>-4.9387179125847211</v>
      </c>
      <c r="Q31" s="195">
        <f t="shared" si="6"/>
        <v>0.9604902566993222</v>
      </c>
      <c r="R31" s="615"/>
      <c r="S31" s="34"/>
      <c r="T31" s="34"/>
      <c r="U31" s="12"/>
      <c r="V31" s="199"/>
      <c r="W31" s="12"/>
      <c r="X31" s="12"/>
      <c r="Y31" s="24">
        <f>SUM(Y25:Y30)</f>
        <v>0</v>
      </c>
      <c r="Z31" s="24">
        <f>SUM(Z25:Z30)</f>
        <v>0</v>
      </c>
      <c r="AA31" s="614"/>
      <c r="AB31" s="614"/>
      <c r="AC31" s="24">
        <v>6</v>
      </c>
      <c r="AD31" s="24">
        <f>SUM(AD25:AD30)</f>
        <v>0</v>
      </c>
      <c r="AE31" s="14">
        <f t="shared" si="8"/>
        <v>-75.72700799296581</v>
      </c>
      <c r="AF31" s="195">
        <f t="shared" si="9"/>
        <v>0.9604902566993222</v>
      </c>
      <c r="AG31" s="615"/>
    </row>
    <row r="32" spans="1:33" ht="15.75" customHeight="1">
      <c r="A32" s="641" t="s">
        <v>10</v>
      </c>
      <c r="B32" s="29" t="s">
        <v>32</v>
      </c>
      <c r="C32" s="640" t="s">
        <v>33</v>
      </c>
      <c r="D32" s="640"/>
      <c r="E32" s="29">
        <v>31.29</v>
      </c>
      <c r="F32" s="200">
        <v>6800</v>
      </c>
      <c r="G32" s="196">
        <f t="shared" ref="G32:G38" si="23">E32*F32</f>
        <v>212772</v>
      </c>
      <c r="H32" s="33">
        <v>2</v>
      </c>
      <c r="I32" s="198">
        <v>18</v>
      </c>
      <c r="J32" s="31">
        <v>2400</v>
      </c>
      <c r="K32" s="12">
        <f t="shared" si="1"/>
        <v>133.33333333333334</v>
      </c>
      <c r="L32" s="198">
        <v>18</v>
      </c>
      <c r="M32" s="13">
        <f t="shared" ref="M32:M38" si="24">F32/V32*60</f>
        <v>2292.1348314606744</v>
      </c>
      <c r="N32" s="12">
        <f t="shared" si="3"/>
        <v>127.34082397003746</v>
      </c>
      <c r="O32" s="14">
        <f t="shared" si="4"/>
        <v>0</v>
      </c>
      <c r="P32" s="15">
        <f t="shared" si="5"/>
        <v>-5.9925093632958806</v>
      </c>
      <c r="Q32" s="195">
        <f t="shared" si="6"/>
        <v>0.9550561797752809</v>
      </c>
      <c r="R32" s="615">
        <f>Q39</f>
        <v>0.95568514432639184</v>
      </c>
      <c r="S32" s="34">
        <v>8.3333333333333329E-2</v>
      </c>
      <c r="T32" s="34">
        <v>0.20694444444444443</v>
      </c>
      <c r="U32" s="196"/>
      <c r="V32" s="199">
        <f t="shared" ref="V32:V38" si="25">(T32-S32)*24*60</f>
        <v>177.99999999999997</v>
      </c>
      <c r="W32" s="16">
        <f>T32</f>
        <v>0.20694444444444443</v>
      </c>
      <c r="X32" s="16">
        <f>S33</f>
        <v>0.22569444444444442</v>
      </c>
      <c r="Y32" s="16"/>
      <c r="Z32" s="16"/>
      <c r="AA32" s="617"/>
      <c r="AB32" s="617"/>
      <c r="AC32" s="35">
        <v>7</v>
      </c>
      <c r="AD32" s="18"/>
      <c r="AE32" s="14">
        <f t="shared" si="8"/>
        <v>-107.86516853932562</v>
      </c>
      <c r="AF32" s="195">
        <f t="shared" si="9"/>
        <v>0.95505617977528101</v>
      </c>
      <c r="AG32" s="615">
        <f>AF39</f>
        <v>0.95568514432639196</v>
      </c>
    </row>
    <row r="33" spans="1:33" ht="15.75" customHeight="1">
      <c r="A33" s="641" t="s">
        <v>10</v>
      </c>
      <c r="B33" s="29" t="s">
        <v>32</v>
      </c>
      <c r="C33" s="640" t="s">
        <v>34</v>
      </c>
      <c r="D33" s="640"/>
      <c r="E33" s="29">
        <v>26.37</v>
      </c>
      <c r="F33" s="200">
        <v>4600</v>
      </c>
      <c r="G33" s="196">
        <f t="shared" si="23"/>
        <v>121302</v>
      </c>
      <c r="H33" s="33">
        <v>2</v>
      </c>
      <c r="I33" s="198">
        <v>18</v>
      </c>
      <c r="J33" s="31">
        <v>2400</v>
      </c>
      <c r="K33" s="12">
        <f t="shared" si="1"/>
        <v>133.33333333333334</v>
      </c>
      <c r="L33" s="198">
        <v>18</v>
      </c>
      <c r="M33" s="13">
        <f t="shared" si="24"/>
        <v>2300.0000000000005</v>
      </c>
      <c r="N33" s="12">
        <f t="shared" si="3"/>
        <v>127.7777777777778</v>
      </c>
      <c r="O33" s="14">
        <f t="shared" si="4"/>
        <v>0</v>
      </c>
      <c r="P33" s="15">
        <f t="shared" si="5"/>
        <v>-5.5555555555555429</v>
      </c>
      <c r="Q33" s="195">
        <f t="shared" si="6"/>
        <v>0.95833333333333348</v>
      </c>
      <c r="R33" s="615"/>
      <c r="S33" s="34">
        <v>0.22569444444444442</v>
      </c>
      <c r="T33" s="34">
        <v>0.30902777777777773</v>
      </c>
      <c r="U33" s="196">
        <f t="shared" ref="U33:U38" si="26">(S33-T32)*24*60</f>
        <v>26.999999999999986</v>
      </c>
      <c r="V33" s="199">
        <f t="shared" si="25"/>
        <v>119.99999999999997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-99.999999999999545</v>
      </c>
      <c r="AF33" s="195">
        <f t="shared" si="9"/>
        <v>0.95833333333333348</v>
      </c>
      <c r="AG33" s="615"/>
    </row>
    <row r="34" spans="1:33" ht="15.75" customHeight="1">
      <c r="A34" s="641" t="s">
        <v>10</v>
      </c>
      <c r="B34" s="29" t="s">
        <v>32</v>
      </c>
      <c r="C34" s="640" t="s">
        <v>76</v>
      </c>
      <c r="D34" s="640"/>
      <c r="E34" s="29">
        <v>26.18</v>
      </c>
      <c r="F34" s="200">
        <v>5500</v>
      </c>
      <c r="G34" s="196">
        <f t="shared" si="23"/>
        <v>143990</v>
      </c>
      <c r="H34" s="33">
        <v>2</v>
      </c>
      <c r="I34" s="198">
        <v>18</v>
      </c>
      <c r="J34" s="31">
        <v>2400</v>
      </c>
      <c r="K34" s="12">
        <f t="shared" si="1"/>
        <v>133.33333333333334</v>
      </c>
      <c r="L34" s="198">
        <v>18</v>
      </c>
      <c r="M34" s="13">
        <f t="shared" si="24"/>
        <v>2291.666666666667</v>
      </c>
      <c r="N34" s="12">
        <f t="shared" si="3"/>
        <v>127.31481481481484</v>
      </c>
      <c r="O34" s="14">
        <f t="shared" si="4"/>
        <v>0</v>
      </c>
      <c r="P34" s="15">
        <f t="shared" si="5"/>
        <v>-6.0185185185185048</v>
      </c>
      <c r="Q34" s="195">
        <f t="shared" si="6"/>
        <v>0.95486111111111127</v>
      </c>
      <c r="R34" s="615"/>
      <c r="S34" s="34">
        <v>0.31319444444444439</v>
      </c>
      <c r="T34" s="34">
        <v>0.41319444444444436</v>
      </c>
      <c r="U34" s="196">
        <f t="shared" si="26"/>
        <v>5.9999999999999787</v>
      </c>
      <c r="V34" s="199">
        <f t="shared" si="25"/>
        <v>143.99999999999997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-108.33333333333303</v>
      </c>
      <c r="AF34" s="195">
        <f t="shared" si="9"/>
        <v>0.95486111111111127</v>
      </c>
      <c r="AG34" s="615"/>
    </row>
    <row r="35" spans="1:33" ht="15.75" customHeight="1">
      <c r="A35" s="641" t="s">
        <v>10</v>
      </c>
      <c r="B35" s="29" t="s">
        <v>32</v>
      </c>
      <c r="C35" s="640" t="s">
        <v>35</v>
      </c>
      <c r="D35" s="640"/>
      <c r="E35" s="29">
        <v>25.99</v>
      </c>
      <c r="F35" s="200">
        <v>4916</v>
      </c>
      <c r="G35" s="196">
        <f t="shared" si="23"/>
        <v>127766.84</v>
      </c>
      <c r="H35" s="33" t="s">
        <v>57</v>
      </c>
      <c r="I35" s="198">
        <v>14</v>
      </c>
      <c r="J35" s="31">
        <v>2400</v>
      </c>
      <c r="K35" s="12">
        <f t="shared" si="1"/>
        <v>171.42857142857142</v>
      </c>
      <c r="L35" s="198">
        <v>14</v>
      </c>
      <c r="M35" s="13">
        <f t="shared" si="24"/>
        <v>2286.511627906978</v>
      </c>
      <c r="N35" s="12">
        <f t="shared" si="3"/>
        <v>163.32225913621272</v>
      </c>
      <c r="O35" s="14">
        <f t="shared" si="4"/>
        <v>0</v>
      </c>
      <c r="P35" s="15">
        <f t="shared" si="5"/>
        <v>-8.1063122923586945</v>
      </c>
      <c r="Q35" s="195">
        <f t="shared" si="6"/>
        <v>0.95271317829457425</v>
      </c>
      <c r="R35" s="615"/>
      <c r="S35" s="34">
        <v>0.41805555555555546</v>
      </c>
      <c r="T35" s="34">
        <v>0.50763888888888875</v>
      </c>
      <c r="U35" s="196">
        <f t="shared" si="26"/>
        <v>6.9999999999999751</v>
      </c>
      <c r="V35" s="199">
        <f t="shared" si="25"/>
        <v>128.99999999999994</v>
      </c>
      <c r="W35" s="16">
        <f>T35</f>
        <v>0.50763888888888875</v>
      </c>
      <c r="X35" s="16">
        <f>S36</f>
        <v>0.54861111111111094</v>
      </c>
      <c r="Y35" s="16"/>
      <c r="Z35" s="16"/>
      <c r="AA35" s="617"/>
      <c r="AB35" s="617"/>
      <c r="AC35" s="35"/>
      <c r="AD35" s="18"/>
      <c r="AE35" s="14">
        <f t="shared" si="8"/>
        <v>-113.48837209302201</v>
      </c>
      <c r="AF35" s="195">
        <f t="shared" si="9"/>
        <v>0.95271317829457414</v>
      </c>
      <c r="AG35" s="615"/>
    </row>
    <row r="36" spans="1:33" ht="15.75" customHeight="1">
      <c r="A36" s="641" t="s">
        <v>10</v>
      </c>
      <c r="B36" s="29" t="s">
        <v>32</v>
      </c>
      <c r="C36" s="640" t="s">
        <v>76</v>
      </c>
      <c r="D36" s="640"/>
      <c r="E36" s="29">
        <v>26.18</v>
      </c>
      <c r="F36" s="200">
        <v>4073</v>
      </c>
      <c r="G36" s="196">
        <f t="shared" si="23"/>
        <v>106631.14</v>
      </c>
      <c r="H36" s="33" t="s">
        <v>57</v>
      </c>
      <c r="I36" s="198">
        <v>18</v>
      </c>
      <c r="J36" s="31">
        <v>2400</v>
      </c>
      <c r="K36" s="12">
        <f t="shared" si="1"/>
        <v>133.33333333333334</v>
      </c>
      <c r="L36" s="198">
        <v>18</v>
      </c>
      <c r="M36" s="13">
        <f t="shared" si="24"/>
        <v>2283.9252336448608</v>
      </c>
      <c r="N36" s="12">
        <f t="shared" si="3"/>
        <v>126.88473520249227</v>
      </c>
      <c r="O36" s="14">
        <f t="shared" si="4"/>
        <v>0</v>
      </c>
      <c r="P36" s="15">
        <f t="shared" si="5"/>
        <v>-6.4485981308410771</v>
      </c>
      <c r="Q36" s="195">
        <f t="shared" si="6"/>
        <v>0.95163551401869195</v>
      </c>
      <c r="R36" s="615"/>
      <c r="S36" s="34">
        <v>0.54861111111111094</v>
      </c>
      <c r="T36" s="34">
        <v>0.62291666666666645</v>
      </c>
      <c r="U36" s="196">
        <f t="shared" si="26"/>
        <v>58.99999999999995</v>
      </c>
      <c r="V36" s="199">
        <f t="shared" si="25"/>
        <v>106.99999999999994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-116.07476635513922</v>
      </c>
      <c r="AF36" s="195">
        <f t="shared" si="9"/>
        <v>0.95163551401869195</v>
      </c>
      <c r="AG36" s="615"/>
    </row>
    <row r="37" spans="1:33" ht="15.75" customHeight="1">
      <c r="A37" s="641" t="s">
        <v>10</v>
      </c>
      <c r="B37" s="29" t="s">
        <v>32</v>
      </c>
      <c r="C37" s="640" t="s">
        <v>34</v>
      </c>
      <c r="D37" s="640"/>
      <c r="E37" s="29">
        <v>26.37</v>
      </c>
      <c r="F37" s="200">
        <v>3186</v>
      </c>
      <c r="G37" s="196">
        <f t="shared" si="23"/>
        <v>84014.82</v>
      </c>
      <c r="H37" s="33" t="s">
        <v>57</v>
      </c>
      <c r="I37" s="198">
        <v>18</v>
      </c>
      <c r="J37" s="31">
        <v>2400</v>
      </c>
      <c r="K37" s="12">
        <f t="shared" si="1"/>
        <v>133.33333333333334</v>
      </c>
      <c r="L37" s="198">
        <v>18</v>
      </c>
      <c r="M37" s="13">
        <f t="shared" si="24"/>
        <v>2303.1325301204811</v>
      </c>
      <c r="N37" s="12">
        <f t="shared" si="3"/>
        <v>127.95180722891561</v>
      </c>
      <c r="O37" s="14">
        <f t="shared" si="4"/>
        <v>0</v>
      </c>
      <c r="P37" s="15">
        <f t="shared" si="5"/>
        <v>-5.3815261044177305</v>
      </c>
      <c r="Q37" s="195">
        <f t="shared" si="6"/>
        <v>0.95963855421686706</v>
      </c>
      <c r="R37" s="615"/>
      <c r="S37" s="34">
        <v>0.62847222222222199</v>
      </c>
      <c r="T37" s="34">
        <v>0.68611111111111089</v>
      </c>
      <c r="U37" s="196">
        <f t="shared" si="26"/>
        <v>7.9999999999999716</v>
      </c>
      <c r="V37" s="199">
        <f t="shared" si="25"/>
        <v>83.000000000000028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-96.867469879518922</v>
      </c>
      <c r="AF37" s="195">
        <f t="shared" si="9"/>
        <v>0.95963855421686717</v>
      </c>
      <c r="AG37" s="615"/>
    </row>
    <row r="38" spans="1:33" ht="15.75" customHeight="1">
      <c r="A38" s="641" t="s">
        <v>10</v>
      </c>
      <c r="B38" s="29" t="s">
        <v>32</v>
      </c>
      <c r="C38" s="640" t="s">
        <v>33</v>
      </c>
      <c r="D38" s="640"/>
      <c r="E38" s="29">
        <v>31.29</v>
      </c>
      <c r="F38" s="200">
        <v>4941</v>
      </c>
      <c r="G38" s="196">
        <f t="shared" si="23"/>
        <v>154603.88999999998</v>
      </c>
      <c r="H38" s="33" t="s">
        <v>57</v>
      </c>
      <c r="I38" s="198">
        <v>18</v>
      </c>
      <c r="J38" s="31">
        <v>2400</v>
      </c>
      <c r="K38" s="12">
        <f t="shared" si="1"/>
        <v>133.33333333333334</v>
      </c>
      <c r="L38" s="198">
        <v>18</v>
      </c>
      <c r="M38" s="13">
        <f t="shared" si="24"/>
        <v>2298.1395348837204</v>
      </c>
      <c r="N38" s="12">
        <f t="shared" si="3"/>
        <v>127.67441860465114</v>
      </c>
      <c r="O38" s="14">
        <f t="shared" si="4"/>
        <v>0</v>
      </c>
      <c r="P38" s="15">
        <f t="shared" si="5"/>
        <v>-5.6589147286822055</v>
      </c>
      <c r="Q38" s="195">
        <f t="shared" si="6"/>
        <v>0.95755813953488345</v>
      </c>
      <c r="R38" s="615"/>
      <c r="S38" s="34">
        <v>0.69027777777777755</v>
      </c>
      <c r="T38" s="34">
        <v>0.77986111111111089</v>
      </c>
      <c r="U38" s="196">
        <f t="shared" si="26"/>
        <v>5.9999999999999787</v>
      </c>
      <c r="V38" s="199">
        <f t="shared" si="25"/>
        <v>129.00000000000003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-101.86046511627956</v>
      </c>
      <c r="AF38" s="195">
        <f t="shared" si="9"/>
        <v>0.95755813953488356</v>
      </c>
      <c r="AG38" s="615"/>
    </row>
    <row r="39" spans="1:33" ht="15.75" customHeight="1">
      <c r="A39" s="641" t="s">
        <v>10</v>
      </c>
      <c r="B39" s="29" t="s">
        <v>6</v>
      </c>
      <c r="C39" s="618"/>
      <c r="D39" s="618"/>
      <c r="E39" s="197"/>
      <c r="F39" s="200"/>
      <c r="G39" s="196"/>
      <c r="H39" s="200"/>
      <c r="I39" s="23">
        <v>17.428571428571427</v>
      </c>
      <c r="J39" s="31">
        <v>2400</v>
      </c>
      <c r="K39" s="12">
        <f t="shared" si="1"/>
        <v>137.70491803278691</v>
      </c>
      <c r="L39" s="23">
        <v>17.428571428571427</v>
      </c>
      <c r="M39" s="13">
        <f>AVERAGE(M32:M38)</f>
        <v>2293.6443463833407</v>
      </c>
      <c r="N39" s="12">
        <f t="shared" si="3"/>
        <v>131.60254446461792</v>
      </c>
      <c r="O39" s="14">
        <f t="shared" si="4"/>
        <v>0</v>
      </c>
      <c r="P39" s="15">
        <f t="shared" si="5"/>
        <v>-6.1023735681689857</v>
      </c>
      <c r="Q39" s="195">
        <f t="shared" si="6"/>
        <v>0.95568514432639184</v>
      </c>
      <c r="R39" s="615"/>
      <c r="S39" s="34"/>
      <c r="T39" s="34"/>
      <c r="U39" s="196"/>
      <c r="V39" s="199"/>
      <c r="W39" s="196"/>
      <c r="X39" s="196"/>
      <c r="Y39" s="24">
        <f>SUM(Y32:Y38)</f>
        <v>0</v>
      </c>
      <c r="Z39" s="24">
        <f>SUM(Z32:Z38)</f>
        <v>0</v>
      </c>
      <c r="AA39" s="614"/>
      <c r="AB39" s="614"/>
      <c r="AC39" s="24">
        <v>7</v>
      </c>
      <c r="AD39" s="24">
        <f>SUM(AD32:AD38)</f>
        <v>0</v>
      </c>
      <c r="AE39" s="14">
        <f t="shared" si="8"/>
        <v>-106.35565361665931</v>
      </c>
      <c r="AF39" s="195">
        <f t="shared" si="9"/>
        <v>0.95568514432639196</v>
      </c>
      <c r="AG39" s="615"/>
    </row>
    <row r="40" spans="1:33" ht="15.75" customHeight="1">
      <c r="A40" s="638" t="s">
        <v>362</v>
      </c>
      <c r="B40" s="29" t="s">
        <v>32</v>
      </c>
      <c r="C40" s="616" t="s">
        <v>77</v>
      </c>
      <c r="D40" s="616"/>
      <c r="E40" s="29">
        <v>26.18</v>
      </c>
      <c r="F40" s="200">
        <v>4200</v>
      </c>
      <c r="G40" s="196">
        <f t="shared" ref="G40:G47" si="27">E40*F40</f>
        <v>109956</v>
      </c>
      <c r="H40" s="33">
        <v>2</v>
      </c>
      <c r="I40" s="198">
        <v>20</v>
      </c>
      <c r="J40" s="31">
        <v>2400</v>
      </c>
      <c r="K40" s="12">
        <f t="shared" si="1"/>
        <v>120</v>
      </c>
      <c r="L40" s="198">
        <v>20</v>
      </c>
      <c r="M40" s="13">
        <f t="shared" ref="M40:M47" si="28">F40/V40*60</f>
        <v>2290.909090909091</v>
      </c>
      <c r="N40" s="12">
        <f t="shared" si="3"/>
        <v>114.54545454545455</v>
      </c>
      <c r="O40" s="14">
        <f t="shared" si="4"/>
        <v>0</v>
      </c>
      <c r="P40" s="15">
        <f t="shared" si="5"/>
        <v>-5.4545454545454533</v>
      </c>
      <c r="Q40" s="195">
        <f t="shared" si="6"/>
        <v>0.95454545454545459</v>
      </c>
      <c r="R40" s="615">
        <f>Q48</f>
        <v>0.95677542085366485</v>
      </c>
      <c r="S40" s="34">
        <v>8.3333333333333329E-2</v>
      </c>
      <c r="T40" s="34">
        <v>0.15972222222222221</v>
      </c>
      <c r="U40" s="196"/>
      <c r="V40" s="199">
        <f t="shared" ref="V40:V47" si="29">(T40-S40)*24*60</f>
        <v>109.99999999999999</v>
      </c>
      <c r="W40" s="21">
        <f>T40</f>
        <v>0.15972222222222221</v>
      </c>
      <c r="X40" s="21">
        <f>S41</f>
        <v>0.17777777777777776</v>
      </c>
      <c r="Y40" s="21"/>
      <c r="Z40" s="21"/>
      <c r="AA40" s="617"/>
      <c r="AB40" s="617"/>
      <c r="AC40" s="35">
        <v>8</v>
      </c>
      <c r="AD40" s="18"/>
      <c r="AE40" s="14">
        <f t="shared" si="8"/>
        <v>-109.09090909090901</v>
      </c>
      <c r="AF40" s="195">
        <f t="shared" si="9"/>
        <v>0.95454545454545459</v>
      </c>
      <c r="AG40" s="615">
        <f>AF48</f>
        <v>0.95677542085366485</v>
      </c>
    </row>
    <row r="41" spans="1:33" ht="15.75" customHeight="1">
      <c r="A41" s="638" t="s">
        <v>362</v>
      </c>
      <c r="B41" s="29" t="s">
        <v>32</v>
      </c>
      <c r="C41" s="616" t="s">
        <v>37</v>
      </c>
      <c r="D41" s="616"/>
      <c r="E41" s="29">
        <v>24.43</v>
      </c>
      <c r="F41" s="200">
        <v>4500</v>
      </c>
      <c r="G41" s="196">
        <f t="shared" si="27"/>
        <v>109935</v>
      </c>
      <c r="H41" s="33">
        <v>2</v>
      </c>
      <c r="I41" s="198">
        <v>14</v>
      </c>
      <c r="J41" s="31">
        <v>2400</v>
      </c>
      <c r="K41" s="12">
        <f t="shared" si="1"/>
        <v>171.42857142857142</v>
      </c>
      <c r="L41" s="198">
        <v>14</v>
      </c>
      <c r="M41" s="13">
        <f t="shared" si="28"/>
        <v>2288.1355932203396</v>
      </c>
      <c r="N41" s="12">
        <f t="shared" si="3"/>
        <v>163.43825665859569</v>
      </c>
      <c r="O41" s="14">
        <f t="shared" si="4"/>
        <v>0</v>
      </c>
      <c r="P41" s="15">
        <f t="shared" si="5"/>
        <v>-7.9903147699757255</v>
      </c>
      <c r="Q41" s="195">
        <f t="shared" si="6"/>
        <v>0.95338983050847492</v>
      </c>
      <c r="R41" s="615"/>
      <c r="S41" s="34">
        <v>0.17777777777777776</v>
      </c>
      <c r="T41" s="34">
        <v>0.25972222222222219</v>
      </c>
      <c r="U41" s="196">
        <f t="shared" ref="U41:U47" si="30">(S41-T40)*24*60</f>
        <v>25.999999999999986</v>
      </c>
      <c r="V41" s="199">
        <f t="shared" si="29"/>
        <v>117.99999999999999</v>
      </c>
      <c r="W41" s="196"/>
      <c r="X41" s="196"/>
      <c r="Y41" s="196"/>
      <c r="Z41" s="196"/>
      <c r="AA41" s="617"/>
      <c r="AB41" s="617"/>
      <c r="AC41" s="35"/>
      <c r="AD41" s="18"/>
      <c r="AE41" s="14">
        <f t="shared" si="8"/>
        <v>-111.86440677966038</v>
      </c>
      <c r="AF41" s="195">
        <f t="shared" si="9"/>
        <v>0.95338983050847481</v>
      </c>
      <c r="AG41" s="615"/>
    </row>
    <row r="42" spans="1:33">
      <c r="A42" s="639" t="s">
        <v>362</v>
      </c>
      <c r="B42" s="29" t="s">
        <v>32</v>
      </c>
      <c r="C42" s="616" t="s">
        <v>38</v>
      </c>
      <c r="D42" s="616"/>
      <c r="E42" s="29">
        <v>25.98</v>
      </c>
      <c r="F42" s="200">
        <v>3727</v>
      </c>
      <c r="G42" s="196">
        <f t="shared" si="27"/>
        <v>96827.46</v>
      </c>
      <c r="H42" s="33" t="s">
        <v>57</v>
      </c>
      <c r="I42" s="198">
        <v>21</v>
      </c>
      <c r="J42" s="31">
        <v>2400</v>
      </c>
      <c r="K42" s="12">
        <f t="shared" si="1"/>
        <v>114.28571428571429</v>
      </c>
      <c r="L42" s="198">
        <v>21</v>
      </c>
      <c r="M42" s="13">
        <f t="shared" si="28"/>
        <v>2305.3608247422685</v>
      </c>
      <c r="N42" s="12">
        <f t="shared" si="3"/>
        <v>109.77908689248898</v>
      </c>
      <c r="O42" s="14">
        <f t="shared" si="4"/>
        <v>0</v>
      </c>
      <c r="P42" s="15">
        <f t="shared" si="5"/>
        <v>-4.5066273932253154</v>
      </c>
      <c r="Q42" s="195">
        <f t="shared" si="6"/>
        <v>0.96056701030927849</v>
      </c>
      <c r="R42" s="615"/>
      <c r="S42" s="34">
        <v>0.26458333333333328</v>
      </c>
      <c r="T42" s="34">
        <v>0.33194444444444438</v>
      </c>
      <c r="U42" s="196">
        <f t="shared" si="30"/>
        <v>6.9999999999999751</v>
      </c>
      <c r="V42" s="199">
        <f t="shared" si="29"/>
        <v>96.999999999999972</v>
      </c>
      <c r="W42" s="196"/>
      <c r="X42" s="196"/>
      <c r="Y42" s="196"/>
      <c r="Z42" s="196"/>
      <c r="AA42" s="617"/>
      <c r="AB42" s="617"/>
      <c r="AC42" s="35"/>
      <c r="AD42" s="18"/>
      <c r="AE42" s="14">
        <f t="shared" si="8"/>
        <v>-94.639175257731495</v>
      </c>
      <c r="AF42" s="195">
        <f t="shared" si="9"/>
        <v>0.96056701030927849</v>
      </c>
      <c r="AG42" s="615"/>
    </row>
    <row r="43" spans="1:33">
      <c r="A43" s="639" t="s">
        <v>362</v>
      </c>
      <c r="B43" s="29" t="s">
        <v>32</v>
      </c>
      <c r="C43" s="616" t="s">
        <v>79</v>
      </c>
      <c r="D43" s="616"/>
      <c r="E43" s="29">
        <v>25.99</v>
      </c>
      <c r="F43" s="200">
        <v>3374</v>
      </c>
      <c r="G43" s="196">
        <f t="shared" si="27"/>
        <v>87690.26</v>
      </c>
      <c r="H43" s="33" t="s">
        <v>57</v>
      </c>
      <c r="I43" s="198">
        <v>18</v>
      </c>
      <c r="J43" s="31">
        <v>2400</v>
      </c>
      <c r="K43" s="12">
        <f t="shared" si="1"/>
        <v>133.33333333333334</v>
      </c>
      <c r="L43" s="198">
        <v>18</v>
      </c>
      <c r="M43" s="13">
        <f t="shared" si="28"/>
        <v>2300.4545454545455</v>
      </c>
      <c r="N43" s="12">
        <f t="shared" si="3"/>
        <v>127.80303030303031</v>
      </c>
      <c r="O43" s="14">
        <f t="shared" si="4"/>
        <v>0</v>
      </c>
      <c r="P43" s="15">
        <f t="shared" si="5"/>
        <v>-5.5303030303030312</v>
      </c>
      <c r="Q43" s="195">
        <f t="shared" si="6"/>
        <v>0.95852272727272725</v>
      </c>
      <c r="R43" s="615"/>
      <c r="S43" s="34">
        <v>0.33541666666666659</v>
      </c>
      <c r="T43" s="34">
        <v>0.3965277777777777</v>
      </c>
      <c r="U43" s="196">
        <f t="shared" si="30"/>
        <v>4.9999999999999822</v>
      </c>
      <c r="V43" s="199">
        <f t="shared" si="29"/>
        <v>88</v>
      </c>
      <c r="W43" s="16"/>
      <c r="X43" s="16"/>
      <c r="Y43" s="16"/>
      <c r="Z43" s="16"/>
      <c r="AA43" s="617"/>
      <c r="AB43" s="617"/>
      <c r="AC43" s="35"/>
      <c r="AD43" s="18"/>
      <c r="AE43" s="14">
        <f t="shared" si="8"/>
        <v>-99.545454545454504</v>
      </c>
      <c r="AF43" s="195">
        <f t="shared" si="9"/>
        <v>0.95852272727272725</v>
      </c>
      <c r="AG43" s="615"/>
    </row>
    <row r="44" spans="1:33">
      <c r="A44" s="639" t="s">
        <v>362</v>
      </c>
      <c r="B44" s="29" t="s">
        <v>32</v>
      </c>
      <c r="C44" s="616" t="s">
        <v>39</v>
      </c>
      <c r="D44" s="616"/>
      <c r="E44" s="29">
        <v>34.1</v>
      </c>
      <c r="F44" s="200">
        <v>3000</v>
      </c>
      <c r="G44" s="196">
        <f t="shared" si="27"/>
        <v>102300</v>
      </c>
      <c r="H44" s="33">
        <v>2</v>
      </c>
      <c r="I44" s="198">
        <v>17</v>
      </c>
      <c r="J44" s="31">
        <v>1600</v>
      </c>
      <c r="K44" s="12">
        <f t="shared" si="1"/>
        <v>94.117647058823536</v>
      </c>
      <c r="L44" s="198">
        <v>17</v>
      </c>
      <c r="M44" s="13">
        <f t="shared" si="28"/>
        <v>1525.4237288135596</v>
      </c>
      <c r="N44" s="12">
        <f t="shared" si="3"/>
        <v>89.730807577268209</v>
      </c>
      <c r="O44" s="14">
        <f t="shared" si="4"/>
        <v>0</v>
      </c>
      <c r="P44" s="15">
        <f t="shared" si="5"/>
        <v>-4.3868394815553273</v>
      </c>
      <c r="Q44" s="195">
        <f t="shared" si="6"/>
        <v>0.9533898305084747</v>
      </c>
      <c r="R44" s="615"/>
      <c r="S44" s="34">
        <v>0.4013888888888888</v>
      </c>
      <c r="T44" s="34">
        <v>0.48333333333333323</v>
      </c>
      <c r="U44" s="196">
        <f t="shared" si="30"/>
        <v>6.9999999999999751</v>
      </c>
      <c r="V44" s="199">
        <f t="shared" si="29"/>
        <v>117.99999999999999</v>
      </c>
      <c r="W44" s="16">
        <f>T44</f>
        <v>0.48333333333333323</v>
      </c>
      <c r="X44" s="16">
        <f>S45</f>
        <v>0.52361111111111092</v>
      </c>
      <c r="Y44" s="16"/>
      <c r="Z44" s="16"/>
      <c r="AA44" s="617"/>
      <c r="AB44" s="617"/>
      <c r="AC44" s="35"/>
      <c r="AD44" s="18"/>
      <c r="AE44" s="14">
        <f t="shared" si="8"/>
        <v>-74.576271186440408</v>
      </c>
      <c r="AF44" s="195">
        <f t="shared" si="9"/>
        <v>0.9533898305084747</v>
      </c>
      <c r="AG44" s="615"/>
    </row>
    <row r="45" spans="1:33">
      <c r="A45" s="639" t="s">
        <v>362</v>
      </c>
      <c r="B45" s="29" t="s">
        <v>32</v>
      </c>
      <c r="C45" s="616" t="s">
        <v>39</v>
      </c>
      <c r="D45" s="616"/>
      <c r="E45" s="29">
        <v>34.1</v>
      </c>
      <c r="F45" s="200">
        <v>4767</v>
      </c>
      <c r="G45" s="196">
        <f t="shared" si="27"/>
        <v>162554.70000000001</v>
      </c>
      <c r="H45" s="33" t="s">
        <v>57</v>
      </c>
      <c r="I45" s="198">
        <v>17</v>
      </c>
      <c r="J45" s="31">
        <v>1600</v>
      </c>
      <c r="K45" s="12">
        <f t="shared" si="1"/>
        <v>94.117647058823536</v>
      </c>
      <c r="L45" s="198">
        <v>17</v>
      </c>
      <c r="M45" s="13">
        <f t="shared" si="28"/>
        <v>1521.3829787234047</v>
      </c>
      <c r="N45" s="12">
        <f t="shared" si="3"/>
        <v>89.493116395494397</v>
      </c>
      <c r="O45" s="14">
        <f t="shared" si="4"/>
        <v>0</v>
      </c>
      <c r="P45" s="15">
        <f t="shared" si="5"/>
        <v>-4.6245306633291392</v>
      </c>
      <c r="Q45" s="195">
        <f t="shared" si="6"/>
        <v>0.95086436170212785</v>
      </c>
      <c r="R45" s="615"/>
      <c r="S45" s="34">
        <v>0.52361111111111092</v>
      </c>
      <c r="T45" s="34">
        <v>0.65416666666666645</v>
      </c>
      <c r="U45" s="196">
        <f t="shared" si="30"/>
        <v>57.999999999999872</v>
      </c>
      <c r="V45" s="199">
        <f t="shared" si="29"/>
        <v>187.99999999999997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-78.617021276595324</v>
      </c>
      <c r="AF45" s="195">
        <f t="shared" si="9"/>
        <v>0.95086436170212796</v>
      </c>
      <c r="AG45" s="615"/>
    </row>
    <row r="46" spans="1:33">
      <c r="A46" s="639" t="s">
        <v>362</v>
      </c>
      <c r="B46" s="29" t="s">
        <v>32</v>
      </c>
      <c r="C46" s="616" t="s">
        <v>37</v>
      </c>
      <c r="D46" s="616"/>
      <c r="E46" s="29">
        <v>24.43</v>
      </c>
      <c r="F46" s="200">
        <v>3569</v>
      </c>
      <c r="G46" s="196">
        <f t="shared" si="27"/>
        <v>87190.67</v>
      </c>
      <c r="H46" s="33" t="s">
        <v>57</v>
      </c>
      <c r="I46" s="198">
        <v>14</v>
      </c>
      <c r="J46" s="31">
        <v>2400</v>
      </c>
      <c r="K46" s="12">
        <f t="shared" si="1"/>
        <v>171.42857142857142</v>
      </c>
      <c r="L46" s="198">
        <v>14</v>
      </c>
      <c r="M46" s="13">
        <f t="shared" si="28"/>
        <v>2302.5806451612907</v>
      </c>
      <c r="N46" s="12">
        <f t="shared" si="3"/>
        <v>164.47004608294932</v>
      </c>
      <c r="O46" s="14">
        <f t="shared" si="4"/>
        <v>0</v>
      </c>
      <c r="P46" s="15">
        <f t="shared" si="5"/>
        <v>-6.9585253456220926</v>
      </c>
      <c r="Q46" s="195">
        <f t="shared" si="6"/>
        <v>0.9594086021505378</v>
      </c>
      <c r="R46" s="615"/>
      <c r="S46" s="34">
        <v>0.65902777777777755</v>
      </c>
      <c r="T46" s="34">
        <v>0.72361111111111087</v>
      </c>
      <c r="U46" s="196">
        <f t="shared" si="30"/>
        <v>6.9999999999999751</v>
      </c>
      <c r="V46" s="199">
        <f t="shared" si="29"/>
        <v>92.999999999999986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-97.419354838709296</v>
      </c>
      <c r="AF46" s="195">
        <f t="shared" si="9"/>
        <v>0.9594086021505378</v>
      </c>
      <c r="AG46" s="615"/>
    </row>
    <row r="47" spans="1:33">
      <c r="A47" s="639" t="s">
        <v>362</v>
      </c>
      <c r="B47" s="29" t="s">
        <v>32</v>
      </c>
      <c r="C47" s="616" t="s">
        <v>77</v>
      </c>
      <c r="D47" s="616"/>
      <c r="E47" s="29">
        <v>26.18</v>
      </c>
      <c r="F47" s="200">
        <v>3227</v>
      </c>
      <c r="G47" s="196">
        <f t="shared" si="27"/>
        <v>84482.86</v>
      </c>
      <c r="H47" s="33" t="s">
        <v>57</v>
      </c>
      <c r="I47" s="198">
        <v>20</v>
      </c>
      <c r="J47" s="31">
        <v>2400</v>
      </c>
      <c r="K47" s="12">
        <f t="shared" si="1"/>
        <v>120</v>
      </c>
      <c r="L47" s="198">
        <v>20</v>
      </c>
      <c r="M47" s="13">
        <f t="shared" si="28"/>
        <v>2304.9999999999995</v>
      </c>
      <c r="N47" s="12">
        <f t="shared" si="3"/>
        <v>115.24999999999997</v>
      </c>
      <c r="O47" s="14">
        <f t="shared" si="4"/>
        <v>0</v>
      </c>
      <c r="P47" s="15">
        <f t="shared" si="5"/>
        <v>-4.7500000000000284</v>
      </c>
      <c r="Q47" s="195">
        <f t="shared" si="6"/>
        <v>0.96041666666666647</v>
      </c>
      <c r="R47" s="615"/>
      <c r="S47" s="34">
        <v>0.72708333333333308</v>
      </c>
      <c r="T47" s="34">
        <v>0.78541666666666643</v>
      </c>
      <c r="U47" s="196">
        <f t="shared" si="30"/>
        <v>4.9999999999999822</v>
      </c>
      <c r="V47" s="199">
        <f t="shared" si="29"/>
        <v>84.000000000000028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-95.000000000000455</v>
      </c>
      <c r="AF47" s="195">
        <f t="shared" si="9"/>
        <v>0.96041666666666647</v>
      </c>
      <c r="AG47" s="615"/>
    </row>
    <row r="48" spans="1:33">
      <c r="A48" s="639" t="s">
        <v>362</v>
      </c>
      <c r="B48" s="30" t="s">
        <v>6</v>
      </c>
      <c r="C48" s="618"/>
      <c r="D48" s="618"/>
      <c r="E48" s="197"/>
      <c r="F48" s="30"/>
      <c r="G48" s="12"/>
      <c r="H48" s="200"/>
      <c r="I48" s="23">
        <v>17.625</v>
      </c>
      <c r="J48" s="31">
        <v>2200</v>
      </c>
      <c r="K48" s="12">
        <f t="shared" si="1"/>
        <v>124.822695035461</v>
      </c>
      <c r="L48" s="23">
        <v>17.625</v>
      </c>
      <c r="M48" s="13">
        <f>AVERAGE(M40:M47)</f>
        <v>2104.9059258780626</v>
      </c>
      <c r="N48" s="12">
        <f t="shared" si="3"/>
        <v>119.42728657464185</v>
      </c>
      <c r="O48" s="14">
        <f t="shared" si="4"/>
        <v>0</v>
      </c>
      <c r="P48" s="15">
        <f t="shared" si="5"/>
        <v>-5.3954084608191408</v>
      </c>
      <c r="Q48" s="195">
        <f t="shared" si="6"/>
        <v>0.95677542085366485</v>
      </c>
      <c r="R48" s="615"/>
      <c r="S48" s="34"/>
      <c r="T48" s="34"/>
      <c r="U48" s="12"/>
      <c r="V48" s="199"/>
      <c r="W48" s="12"/>
      <c r="X48" s="12"/>
      <c r="Y48" s="24">
        <f>SUM(Y40:Y47)</f>
        <v>0</v>
      </c>
      <c r="Z48" s="24">
        <f>SUM(Z40:Z47)</f>
        <v>0</v>
      </c>
      <c r="AA48" s="614"/>
      <c r="AB48" s="614"/>
      <c r="AC48" s="24">
        <v>8</v>
      </c>
      <c r="AD48" s="24">
        <f>SUM(AD40:AD47)</f>
        <v>0</v>
      </c>
      <c r="AE48" s="14">
        <f t="shared" si="8"/>
        <v>-95.09407412193741</v>
      </c>
      <c r="AF48" s="195">
        <f t="shared" si="9"/>
        <v>0.95677542085366485</v>
      </c>
      <c r="AG48" s="615"/>
    </row>
    <row r="49" spans="1:33" ht="15.75" customHeight="1">
      <c r="A49" s="632" t="s">
        <v>12</v>
      </c>
      <c r="B49" s="29" t="s">
        <v>40</v>
      </c>
      <c r="C49" s="622" t="s">
        <v>41</v>
      </c>
      <c r="D49" s="623"/>
      <c r="E49" s="29">
        <v>37.880000000000003</v>
      </c>
      <c r="F49" s="200">
        <v>984</v>
      </c>
      <c r="G49" s="196">
        <f t="shared" ref="G49:G52" si="31">E49*F49</f>
        <v>37273.920000000006</v>
      </c>
      <c r="H49" s="33" t="s">
        <v>57</v>
      </c>
      <c r="I49" s="198">
        <v>13</v>
      </c>
      <c r="J49" s="31">
        <v>2000</v>
      </c>
      <c r="K49" s="12">
        <f t="shared" si="1"/>
        <v>153.84615384615384</v>
      </c>
      <c r="L49" s="198">
        <v>13</v>
      </c>
      <c r="M49" s="13">
        <f t="shared" ref="M49:M52" si="32">F49/V49*60</f>
        <v>1904.5161290322574</v>
      </c>
      <c r="N49" s="13">
        <f t="shared" si="3"/>
        <v>146.50124069478903</v>
      </c>
      <c r="O49" s="14">
        <f t="shared" si="4"/>
        <v>0</v>
      </c>
      <c r="P49" s="15">
        <f t="shared" si="5"/>
        <v>-7.3449131513648069</v>
      </c>
      <c r="Q49" s="195">
        <f t="shared" si="6"/>
        <v>0.95225806451612871</v>
      </c>
      <c r="R49" s="635">
        <f>Q53</f>
        <v>0.95468929298772309</v>
      </c>
      <c r="S49" s="34">
        <v>8.3333333333333329E-2</v>
      </c>
      <c r="T49" s="34">
        <v>0.10486111111111111</v>
      </c>
      <c r="U49" s="21"/>
      <c r="V49" s="199">
        <f t="shared" ref="V49:V52" si="33">(T49-S49)*24*60</f>
        <v>31.000000000000011</v>
      </c>
      <c r="W49" s="16">
        <f>T49</f>
        <v>0.10486111111111111</v>
      </c>
      <c r="X49" s="16">
        <f>S50</f>
        <v>0.12569444444444444</v>
      </c>
      <c r="Y49" s="19"/>
      <c r="Z49" s="19"/>
      <c r="AA49" s="624"/>
      <c r="AB49" s="625"/>
      <c r="AC49" s="35">
        <v>4</v>
      </c>
      <c r="AD49" s="18"/>
      <c r="AE49" s="14">
        <f t="shared" si="8"/>
        <v>-95.483870967742632</v>
      </c>
      <c r="AF49" s="195">
        <f t="shared" si="9"/>
        <v>0.95225806451612871</v>
      </c>
      <c r="AG49" s="635">
        <f>AF53</f>
        <v>0.95468929298772309</v>
      </c>
    </row>
    <row r="50" spans="1:33" ht="15.75" customHeight="1">
      <c r="A50" s="633" t="s">
        <v>12</v>
      </c>
      <c r="B50" s="29" t="s">
        <v>40</v>
      </c>
      <c r="C50" s="622" t="s">
        <v>42</v>
      </c>
      <c r="D50" s="623"/>
      <c r="E50" s="29">
        <v>35.119999999999997</v>
      </c>
      <c r="F50" s="200">
        <v>6430</v>
      </c>
      <c r="G50" s="196">
        <f t="shared" si="31"/>
        <v>225821.59999999998</v>
      </c>
      <c r="H50" s="33" t="s">
        <v>57</v>
      </c>
      <c r="I50" s="198">
        <v>10</v>
      </c>
      <c r="J50" s="31">
        <v>3000</v>
      </c>
      <c r="K50" s="12">
        <f t="shared" si="1"/>
        <v>300</v>
      </c>
      <c r="L50" s="198">
        <v>10</v>
      </c>
      <c r="M50" s="13">
        <f t="shared" si="32"/>
        <v>2857.7777777777774</v>
      </c>
      <c r="N50" s="13">
        <f t="shared" si="3"/>
        <v>285.77777777777771</v>
      </c>
      <c r="O50" s="14">
        <f t="shared" si="4"/>
        <v>0</v>
      </c>
      <c r="P50" s="15">
        <f t="shared" si="5"/>
        <v>-14.222222222222285</v>
      </c>
      <c r="Q50" s="195">
        <f t="shared" si="6"/>
        <v>0.95259259259259244</v>
      </c>
      <c r="R50" s="636"/>
      <c r="S50" s="34">
        <v>0.12569444444444444</v>
      </c>
      <c r="T50" s="34">
        <v>0.21944444444444444</v>
      </c>
      <c r="U50" s="196">
        <f t="shared" ref="U50:U52" si="34">(S50-T49)*24*60</f>
        <v>29.999999999999993</v>
      </c>
      <c r="V50" s="199">
        <f t="shared" si="33"/>
        <v>135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-142.22222222222263</v>
      </c>
      <c r="AF50" s="195">
        <f t="shared" si="9"/>
        <v>0.95259259259259244</v>
      </c>
      <c r="AG50" s="636"/>
    </row>
    <row r="51" spans="1:33" ht="15.75" customHeight="1">
      <c r="A51" s="633" t="s">
        <v>12</v>
      </c>
      <c r="B51" s="29" t="s">
        <v>40</v>
      </c>
      <c r="C51" s="622" t="s">
        <v>43</v>
      </c>
      <c r="D51" s="623"/>
      <c r="E51" s="29">
        <v>21.13</v>
      </c>
      <c r="F51" s="200">
        <v>6177</v>
      </c>
      <c r="G51" s="196">
        <f t="shared" si="31"/>
        <v>130520.01</v>
      </c>
      <c r="H51" s="33" t="s">
        <v>57</v>
      </c>
      <c r="I51" s="198">
        <v>10</v>
      </c>
      <c r="J51" s="31">
        <v>3000</v>
      </c>
      <c r="K51" s="12">
        <f t="shared" si="1"/>
        <v>300</v>
      </c>
      <c r="L51" s="198">
        <v>10</v>
      </c>
      <c r="M51" s="13">
        <f t="shared" si="32"/>
        <v>2873.0232558139542</v>
      </c>
      <c r="N51" s="13">
        <f t="shared" si="3"/>
        <v>287.30232558139539</v>
      </c>
      <c r="O51" s="14">
        <f t="shared" si="4"/>
        <v>0</v>
      </c>
      <c r="P51" s="15">
        <f t="shared" si="5"/>
        <v>-12.697674418604606</v>
      </c>
      <c r="Q51" s="195">
        <f t="shared" si="6"/>
        <v>0.9576744186046513</v>
      </c>
      <c r="R51" s="636"/>
      <c r="S51" s="34">
        <v>0.22361111111111112</v>
      </c>
      <c r="T51" s="34">
        <v>0.31319444444444444</v>
      </c>
      <c r="U51" s="196">
        <f t="shared" si="34"/>
        <v>6.0000000000000187</v>
      </c>
      <c r="V51" s="199">
        <f t="shared" si="33"/>
        <v>128.99999999999997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-126.97674418604583</v>
      </c>
      <c r="AF51" s="195">
        <f t="shared" si="9"/>
        <v>0.95767441860465141</v>
      </c>
      <c r="AG51" s="636"/>
    </row>
    <row r="52" spans="1:33" ht="15.75" customHeight="1">
      <c r="A52" s="633" t="s">
        <v>12</v>
      </c>
      <c r="B52" s="29" t="s">
        <v>40</v>
      </c>
      <c r="C52" s="622" t="s">
        <v>44</v>
      </c>
      <c r="D52" s="623"/>
      <c r="E52" s="29">
        <v>27.17</v>
      </c>
      <c r="F52" s="200">
        <v>7930</v>
      </c>
      <c r="G52" s="196">
        <f t="shared" si="31"/>
        <v>215458.1</v>
      </c>
      <c r="H52" s="33" t="s">
        <v>57</v>
      </c>
      <c r="I52" s="198">
        <v>10</v>
      </c>
      <c r="J52" s="31">
        <v>3000</v>
      </c>
      <c r="K52" s="12">
        <f t="shared" si="1"/>
        <v>300</v>
      </c>
      <c r="L52" s="198">
        <v>10</v>
      </c>
      <c r="M52" s="13">
        <f t="shared" si="32"/>
        <v>2866.2650602409644</v>
      </c>
      <c r="N52" s="13">
        <f t="shared" si="3"/>
        <v>286.62650602409644</v>
      </c>
      <c r="O52" s="14">
        <f t="shared" si="4"/>
        <v>0</v>
      </c>
      <c r="P52" s="15">
        <f t="shared" si="5"/>
        <v>-13.373493975903557</v>
      </c>
      <c r="Q52" s="195">
        <f t="shared" si="6"/>
        <v>0.95542168674698813</v>
      </c>
      <c r="R52" s="636"/>
      <c r="S52" s="34">
        <v>0.31805555555555554</v>
      </c>
      <c r="T52" s="34">
        <v>0.43333333333333329</v>
      </c>
      <c r="U52" s="196">
        <f t="shared" si="34"/>
        <v>6.9999999999999751</v>
      </c>
      <c r="V52" s="199">
        <f t="shared" si="33"/>
        <v>165.99999999999997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-133.73493975903557</v>
      </c>
      <c r="AF52" s="195">
        <f t="shared" si="9"/>
        <v>0.95542168674698813</v>
      </c>
      <c r="AG52" s="636"/>
    </row>
    <row r="53" spans="1:33" ht="15.75" customHeight="1">
      <c r="A53" s="634" t="s">
        <v>12</v>
      </c>
      <c r="B53" s="29" t="s">
        <v>6</v>
      </c>
      <c r="C53" s="612"/>
      <c r="D53" s="613"/>
      <c r="E53" s="193"/>
      <c r="F53" s="200"/>
      <c r="G53" s="196"/>
      <c r="H53" s="200"/>
      <c r="I53" s="23">
        <v>10.75</v>
      </c>
      <c r="J53" s="31">
        <v>2750</v>
      </c>
      <c r="K53" s="12">
        <f t="shared" si="1"/>
        <v>255.81395348837211</v>
      </c>
      <c r="L53" s="23">
        <v>10.75</v>
      </c>
      <c r="M53" s="13">
        <f>AVERAGE(M49:M52)</f>
        <v>2625.3955557162385</v>
      </c>
      <c r="N53" s="12">
        <f t="shared" si="3"/>
        <v>244.22284239220824</v>
      </c>
      <c r="O53" s="14">
        <f t="shared" si="4"/>
        <v>0</v>
      </c>
      <c r="P53" s="15">
        <f t="shared" si="5"/>
        <v>-11.591111096163871</v>
      </c>
      <c r="Q53" s="195">
        <f t="shared" si="6"/>
        <v>0.95468929298772309</v>
      </c>
      <c r="R53" s="637"/>
      <c r="S53" s="34"/>
      <c r="T53" s="34"/>
      <c r="U53" s="196"/>
      <c r="V53" s="199"/>
      <c r="W53" s="16"/>
      <c r="X53" s="16"/>
      <c r="Y53" s="24">
        <f>SUM(Y49:Y52)</f>
        <v>0</v>
      </c>
      <c r="Z53" s="24">
        <f>SUM(Z49:Z52)</f>
        <v>0</v>
      </c>
      <c r="AA53" s="628"/>
      <c r="AB53" s="629"/>
      <c r="AC53" s="24">
        <v>4</v>
      </c>
      <c r="AD53" s="24">
        <f>SUM(AD49:AD52)</f>
        <v>0</v>
      </c>
      <c r="AE53" s="14">
        <f t="shared" si="8"/>
        <v>-124.6044442837615</v>
      </c>
      <c r="AF53" s="195">
        <f t="shared" si="9"/>
        <v>0.95468929298772309</v>
      </c>
      <c r="AG53" s="637"/>
    </row>
    <row r="54" spans="1:33" ht="15.75" customHeight="1">
      <c r="A54" s="630" t="s">
        <v>277</v>
      </c>
      <c r="B54" s="29" t="s">
        <v>19</v>
      </c>
      <c r="C54" s="616" t="s">
        <v>45</v>
      </c>
      <c r="D54" s="616"/>
      <c r="E54" s="29">
        <v>46</v>
      </c>
      <c r="F54" s="32">
        <v>2963</v>
      </c>
      <c r="G54" s="196">
        <f t="shared" ref="G54:G60" si="35">E54*F54</f>
        <v>136298</v>
      </c>
      <c r="H54" s="33" t="s">
        <v>57</v>
      </c>
      <c r="I54" s="198">
        <v>16</v>
      </c>
      <c r="J54" s="31">
        <v>2000</v>
      </c>
      <c r="K54" s="12">
        <f t="shared" si="1"/>
        <v>125</v>
      </c>
      <c r="L54" s="198">
        <v>16</v>
      </c>
      <c r="M54" s="13">
        <f t="shared" ref="M54" si="36">F54/V54*60</f>
        <v>1911.6129032258057</v>
      </c>
      <c r="N54" s="13">
        <f t="shared" si="3"/>
        <v>119.47580645161285</v>
      </c>
      <c r="O54" s="14">
        <f t="shared" si="4"/>
        <v>0</v>
      </c>
      <c r="P54" s="15">
        <f t="shared" si="5"/>
        <v>-5.5241935483871458</v>
      </c>
      <c r="Q54" s="195">
        <f t="shared" si="6"/>
        <v>0.95580645161290279</v>
      </c>
      <c r="R54" s="615">
        <f>Q61</f>
        <v>0.96081540485551242</v>
      </c>
      <c r="S54" s="34">
        <v>0.20833333333333334</v>
      </c>
      <c r="T54" s="34">
        <v>0.2729166666666667</v>
      </c>
      <c r="U54" s="21"/>
      <c r="V54" s="199">
        <f t="shared" ref="V54:V60" si="37">(T54-S54)*24*60</f>
        <v>93.000000000000028</v>
      </c>
      <c r="W54" s="21"/>
      <c r="X54" s="21"/>
      <c r="Y54" s="21"/>
      <c r="Z54" s="21"/>
      <c r="AA54" s="617"/>
      <c r="AB54" s="617"/>
      <c r="AC54" s="35">
        <v>7</v>
      </c>
      <c r="AD54" s="18"/>
      <c r="AE54" s="14">
        <f t="shared" si="8"/>
        <v>-88.387096774194333</v>
      </c>
      <c r="AF54" s="195">
        <f t="shared" si="9"/>
        <v>0.95580645161290279</v>
      </c>
      <c r="AG54" s="615">
        <f>AF61</f>
        <v>0.96081540485551231</v>
      </c>
    </row>
    <row r="55" spans="1:33" ht="15.75" customHeight="1">
      <c r="A55" s="630" t="s">
        <v>277</v>
      </c>
      <c r="B55" s="29" t="s">
        <v>19</v>
      </c>
      <c r="C55" s="616" t="s">
        <v>81</v>
      </c>
      <c r="D55" s="616"/>
      <c r="E55" s="29">
        <v>46</v>
      </c>
      <c r="F55" s="32">
        <v>4151</v>
      </c>
      <c r="G55" s="196">
        <f t="shared" si="35"/>
        <v>190946</v>
      </c>
      <c r="H55" s="33" t="s">
        <v>57</v>
      </c>
      <c r="I55" s="198">
        <v>16</v>
      </c>
      <c r="J55" s="31">
        <v>2000</v>
      </c>
      <c r="K55" s="12">
        <f t="shared" si="1"/>
        <v>125</v>
      </c>
      <c r="L55" s="198">
        <v>16</v>
      </c>
      <c r="M55" s="13">
        <f>F55/V55*60</f>
        <v>1915.8461538461534</v>
      </c>
      <c r="N55" s="13">
        <f t="shared" si="3"/>
        <v>119.74038461538458</v>
      </c>
      <c r="O55" s="14">
        <f t="shared" si="4"/>
        <v>0</v>
      </c>
      <c r="P55" s="15">
        <f t="shared" si="5"/>
        <v>-5.2596153846154152</v>
      </c>
      <c r="Q55" s="195">
        <f t="shared" si="6"/>
        <v>0.95792307692307666</v>
      </c>
      <c r="R55" s="615"/>
      <c r="S55" s="34">
        <v>0.27847222222222223</v>
      </c>
      <c r="T55" s="34">
        <v>0.36875000000000002</v>
      </c>
      <c r="U55" s="196">
        <f t="shared" ref="U55:U60" si="38">IF(S55=TIME(17,0,0),"",(S55-T54)*24*60)</f>
        <v>7.9999999999999716</v>
      </c>
      <c r="V55" s="199">
        <f t="shared" si="37"/>
        <v>130.00000000000003</v>
      </c>
      <c r="W55" s="16"/>
      <c r="X55" s="16"/>
      <c r="Y55" s="16"/>
      <c r="Z55" s="16"/>
      <c r="AA55" s="617"/>
      <c r="AB55" s="617"/>
      <c r="AC55" s="35"/>
      <c r="AD55" s="18"/>
      <c r="AE55" s="14">
        <f t="shared" si="8"/>
        <v>-84.153846153846644</v>
      </c>
      <c r="AF55" s="195">
        <f t="shared" si="9"/>
        <v>0.95792307692307666</v>
      </c>
      <c r="AG55" s="615"/>
    </row>
    <row r="56" spans="1:33" ht="15.75" customHeight="1">
      <c r="A56" s="630" t="s">
        <v>277</v>
      </c>
      <c r="B56" s="29" t="s">
        <v>15</v>
      </c>
      <c r="C56" s="622" t="s">
        <v>47</v>
      </c>
      <c r="D56" s="623"/>
      <c r="E56" s="29">
        <v>51.75</v>
      </c>
      <c r="F56" s="32">
        <v>980</v>
      </c>
      <c r="G56" s="196">
        <f t="shared" si="35"/>
        <v>50715</v>
      </c>
      <c r="H56" s="33" t="s">
        <v>57</v>
      </c>
      <c r="I56" s="198">
        <v>25</v>
      </c>
      <c r="J56" s="31">
        <v>2000</v>
      </c>
      <c r="K56" s="12">
        <f t="shared" si="1"/>
        <v>80</v>
      </c>
      <c r="L56" s="198">
        <v>25</v>
      </c>
      <c r="M56" s="13">
        <f t="shared" ref="M56:M60" si="39">F56/V56*60</f>
        <v>1960.000000000002</v>
      </c>
      <c r="N56" s="13">
        <f t="shared" si="3"/>
        <v>78.400000000000077</v>
      </c>
      <c r="O56" s="14">
        <f t="shared" si="4"/>
        <v>0</v>
      </c>
      <c r="P56" s="15">
        <f t="shared" si="5"/>
        <v>-1.5999999999999233</v>
      </c>
      <c r="Q56" s="195">
        <f t="shared" si="6"/>
        <v>0.98000000000000098</v>
      </c>
      <c r="R56" s="615"/>
      <c r="S56" s="34">
        <v>0.37430555555555556</v>
      </c>
      <c r="T56" s="34">
        <v>0.39513888888888887</v>
      </c>
      <c r="U56" s="196">
        <f t="shared" si="38"/>
        <v>7.9999999999999716</v>
      </c>
      <c r="V56" s="199">
        <f t="shared" si="37"/>
        <v>29.999999999999972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-39.999999999997954</v>
      </c>
      <c r="AF56" s="195">
        <f t="shared" si="9"/>
        <v>0.98000000000000098</v>
      </c>
      <c r="AG56" s="615"/>
    </row>
    <row r="57" spans="1:33" ht="15.75" customHeight="1">
      <c r="A57" s="630" t="s">
        <v>277</v>
      </c>
      <c r="B57" s="29" t="s">
        <v>15</v>
      </c>
      <c r="C57" s="189" t="s">
        <v>46</v>
      </c>
      <c r="D57" s="190"/>
      <c r="E57" s="29">
        <v>56.43</v>
      </c>
      <c r="F57" s="32">
        <v>1832</v>
      </c>
      <c r="G57" s="196">
        <f t="shared" si="35"/>
        <v>103379.76</v>
      </c>
      <c r="H57" s="33" t="s">
        <v>57</v>
      </c>
      <c r="I57" s="198">
        <v>22</v>
      </c>
      <c r="J57" s="31">
        <v>2000</v>
      </c>
      <c r="K57" s="12">
        <f t="shared" si="1"/>
        <v>90.909090909090907</v>
      </c>
      <c r="L57" s="198">
        <v>22</v>
      </c>
      <c r="M57" s="13">
        <f t="shared" si="39"/>
        <v>1928.4210526315778</v>
      </c>
      <c r="N57" s="13">
        <f t="shared" si="3"/>
        <v>87.655502392344445</v>
      </c>
      <c r="O57" s="14">
        <f t="shared" si="4"/>
        <v>0</v>
      </c>
      <c r="P57" s="15">
        <f t="shared" si="5"/>
        <v>-3.2535885167464613</v>
      </c>
      <c r="Q57" s="195">
        <f t="shared" si="6"/>
        <v>0.96421052631578896</v>
      </c>
      <c r="R57" s="615"/>
      <c r="S57" s="34">
        <v>0.40069444444444441</v>
      </c>
      <c r="T57" s="34">
        <v>0.44027777777777777</v>
      </c>
      <c r="U57" s="196">
        <f t="shared" si="38"/>
        <v>7.9999999999999716</v>
      </c>
      <c r="V57" s="199">
        <f t="shared" si="37"/>
        <v>57.000000000000036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-71.578947368422178</v>
      </c>
      <c r="AF57" s="195">
        <f t="shared" si="9"/>
        <v>0.96421052631578896</v>
      </c>
      <c r="AG57" s="615"/>
    </row>
    <row r="58" spans="1:33" ht="15.75" customHeight="1">
      <c r="A58" s="630" t="s">
        <v>277</v>
      </c>
      <c r="B58" s="29" t="s">
        <v>15</v>
      </c>
      <c r="C58" s="189" t="s">
        <v>27</v>
      </c>
      <c r="D58" s="190"/>
      <c r="E58" s="29">
        <v>59.04</v>
      </c>
      <c r="F58" s="32">
        <v>3759</v>
      </c>
      <c r="G58" s="196">
        <f t="shared" si="35"/>
        <v>221931.36</v>
      </c>
      <c r="H58" s="33" t="s">
        <v>57</v>
      </c>
      <c r="I58" s="198">
        <v>19</v>
      </c>
      <c r="J58" s="31">
        <v>2000</v>
      </c>
      <c r="K58" s="12">
        <f t="shared" si="1"/>
        <v>105.26315789473684</v>
      </c>
      <c r="L58" s="198">
        <v>19</v>
      </c>
      <c r="M58" s="13">
        <f t="shared" si="39"/>
        <v>1911.3559322033889</v>
      </c>
      <c r="N58" s="13">
        <f t="shared" si="3"/>
        <v>100.59768064228362</v>
      </c>
      <c r="O58" s="14">
        <f t="shared" si="4"/>
        <v>0</v>
      </c>
      <c r="P58" s="15">
        <f t="shared" si="5"/>
        <v>-4.6654772524532149</v>
      </c>
      <c r="Q58" s="195">
        <f t="shared" si="6"/>
        <v>0.95567796610169442</v>
      </c>
      <c r="R58" s="615"/>
      <c r="S58" s="34">
        <v>0.4458333333333333</v>
      </c>
      <c r="T58" s="34">
        <v>0.52777777777777779</v>
      </c>
      <c r="U58" s="196">
        <f t="shared" si="38"/>
        <v>7.9999999999999716</v>
      </c>
      <c r="V58" s="199">
        <f t="shared" si="37"/>
        <v>118.00000000000006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-88.644067796611125</v>
      </c>
      <c r="AF58" s="195">
        <f t="shared" si="9"/>
        <v>0.95567796610169442</v>
      </c>
      <c r="AG58" s="615"/>
    </row>
    <row r="59" spans="1:33" ht="15.75" customHeight="1">
      <c r="A59" s="630" t="s">
        <v>277</v>
      </c>
      <c r="B59" s="29" t="s">
        <v>15</v>
      </c>
      <c r="C59" s="622" t="s">
        <v>48</v>
      </c>
      <c r="D59" s="623"/>
      <c r="E59" s="29">
        <v>55.56</v>
      </c>
      <c r="F59" s="32">
        <v>3085</v>
      </c>
      <c r="G59" s="196">
        <f t="shared" si="35"/>
        <v>171402.6</v>
      </c>
      <c r="H59" s="33" t="s">
        <v>57</v>
      </c>
      <c r="I59" s="198">
        <v>17</v>
      </c>
      <c r="J59" s="31">
        <v>2000</v>
      </c>
      <c r="K59" s="12">
        <f t="shared" si="1"/>
        <v>117.64705882352941</v>
      </c>
      <c r="L59" s="198">
        <v>17</v>
      </c>
      <c r="M59" s="13">
        <f t="shared" si="39"/>
        <v>1908.2474226804129</v>
      </c>
      <c r="N59" s="13">
        <f t="shared" si="3"/>
        <v>112.24984839296546</v>
      </c>
      <c r="O59" s="14">
        <f t="shared" si="4"/>
        <v>0</v>
      </c>
      <c r="P59" s="15">
        <f t="shared" si="5"/>
        <v>-5.3972104305639448</v>
      </c>
      <c r="Q59" s="195">
        <f t="shared" si="6"/>
        <v>0.95412371134020646</v>
      </c>
      <c r="R59" s="615"/>
      <c r="S59" s="34">
        <v>0.70833333333333337</v>
      </c>
      <c r="T59" s="34">
        <v>0.77569444444444446</v>
      </c>
      <c r="U59" s="196" t="str">
        <f t="shared" si="38"/>
        <v/>
      </c>
      <c r="V59" s="199">
        <f t="shared" si="37"/>
        <v>96.999999999999972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-91.75257731958709</v>
      </c>
      <c r="AF59" s="195">
        <f t="shared" si="9"/>
        <v>0.95412371134020646</v>
      </c>
      <c r="AG59" s="615"/>
    </row>
    <row r="60" spans="1:33" ht="15.75" customHeight="1">
      <c r="A60" s="630" t="s">
        <v>277</v>
      </c>
      <c r="B60" s="29" t="s">
        <v>15</v>
      </c>
      <c r="C60" s="622" t="s">
        <v>82</v>
      </c>
      <c r="D60" s="623"/>
      <c r="E60" s="29">
        <v>51.06</v>
      </c>
      <c r="F60" s="32">
        <v>3768</v>
      </c>
      <c r="G60" s="196">
        <f t="shared" si="35"/>
        <v>192394.08000000002</v>
      </c>
      <c r="H60" s="33" t="s">
        <v>57</v>
      </c>
      <c r="I60" s="198">
        <v>13</v>
      </c>
      <c r="J60" s="31">
        <v>2000</v>
      </c>
      <c r="K60" s="12">
        <f t="shared" si="1"/>
        <v>153.84615384615384</v>
      </c>
      <c r="L60" s="198">
        <v>13</v>
      </c>
      <c r="M60" s="13">
        <f t="shared" si="39"/>
        <v>1915.9322033898297</v>
      </c>
      <c r="N60" s="13">
        <f t="shared" si="3"/>
        <v>147.37940026075614</v>
      </c>
      <c r="O60" s="14">
        <f t="shared" si="4"/>
        <v>0</v>
      </c>
      <c r="P60" s="15">
        <f t="shared" si="5"/>
        <v>-6.4667535853976972</v>
      </c>
      <c r="Q60" s="195">
        <f t="shared" si="6"/>
        <v>0.95796610169491492</v>
      </c>
      <c r="R60" s="615"/>
      <c r="S60" s="34">
        <v>0.78055555555555556</v>
      </c>
      <c r="T60" s="34">
        <v>0.86250000000000004</v>
      </c>
      <c r="U60" s="196">
        <f t="shared" si="38"/>
        <v>6.9999999999999751</v>
      </c>
      <c r="V60" s="199">
        <f t="shared" si="37"/>
        <v>118.00000000000006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-84.067796610170262</v>
      </c>
      <c r="AF60" s="195">
        <f t="shared" si="9"/>
        <v>0.95796610169491492</v>
      </c>
      <c r="AG60" s="615"/>
    </row>
    <row r="61" spans="1:33">
      <c r="A61" s="631" t="s">
        <v>277</v>
      </c>
      <c r="B61" s="29" t="s">
        <v>6</v>
      </c>
      <c r="C61" s="618"/>
      <c r="D61" s="618"/>
      <c r="E61" s="197"/>
      <c r="F61" s="30"/>
      <c r="G61" s="12"/>
      <c r="H61" s="200"/>
      <c r="I61" s="23">
        <v>18.285714285714285</v>
      </c>
      <c r="J61" s="31">
        <v>2000</v>
      </c>
      <c r="K61" s="12">
        <f t="shared" si="1"/>
        <v>109.375</v>
      </c>
      <c r="L61" s="23">
        <v>18.285714285714285</v>
      </c>
      <c r="M61" s="13">
        <f>AVERAGE(M54:M60)</f>
        <v>1921.6308097110245</v>
      </c>
      <c r="N61" s="12">
        <f t="shared" si="3"/>
        <v>105.08918490607167</v>
      </c>
      <c r="O61" s="14">
        <f t="shared" si="4"/>
        <v>0</v>
      </c>
      <c r="P61" s="15">
        <f t="shared" si="5"/>
        <v>-4.2858150939283348</v>
      </c>
      <c r="Q61" s="195">
        <f t="shared" si="6"/>
        <v>0.96081540485551242</v>
      </c>
      <c r="R61" s="615"/>
      <c r="S61" s="34"/>
      <c r="T61" s="34"/>
      <c r="U61" s="196"/>
      <c r="V61" s="199"/>
      <c r="W61" s="12"/>
      <c r="X61" s="12"/>
      <c r="Y61" s="24">
        <f>SUM(Y54:Y60)</f>
        <v>0</v>
      </c>
      <c r="Z61" s="24">
        <f>SUM(Z54:Z60)</f>
        <v>0</v>
      </c>
      <c r="AA61" s="614"/>
      <c r="AB61" s="614"/>
      <c r="AC61" s="24">
        <v>7</v>
      </c>
      <c r="AD61" s="24">
        <f>SUM(AD54:AD60)</f>
        <v>0</v>
      </c>
      <c r="AE61" s="14">
        <f>M61-J61</f>
        <v>-78.36919028897546</v>
      </c>
      <c r="AF61" s="195">
        <f t="shared" si="9"/>
        <v>0.96081540485551231</v>
      </c>
      <c r="AG61" s="615"/>
    </row>
    <row r="62" spans="1:33" ht="15.75" customHeight="1">
      <c r="A62" s="626" t="s">
        <v>278</v>
      </c>
      <c r="B62" s="200" t="s">
        <v>40</v>
      </c>
      <c r="C62" s="616" t="s">
        <v>49</v>
      </c>
      <c r="D62" s="616"/>
      <c r="E62" s="29">
        <v>34.36</v>
      </c>
      <c r="F62" s="32">
        <v>2589</v>
      </c>
      <c r="G62" s="196">
        <f t="shared" ref="G62:G66" si="40">E62*F62</f>
        <v>88958.04</v>
      </c>
      <c r="H62" s="33" t="s">
        <v>57</v>
      </c>
      <c r="I62" s="198">
        <v>10</v>
      </c>
      <c r="J62" s="31">
        <v>3000</v>
      </c>
      <c r="K62" s="12">
        <f t="shared" si="1"/>
        <v>300</v>
      </c>
      <c r="L62" s="198">
        <v>10</v>
      </c>
      <c r="M62" s="13">
        <f t="shared" ref="M62:M66" si="41">F62/V62*60</f>
        <v>2876.6666666666661</v>
      </c>
      <c r="N62" s="12">
        <f t="shared" si="3"/>
        <v>287.66666666666663</v>
      </c>
      <c r="O62" s="14">
        <f t="shared" si="4"/>
        <v>0</v>
      </c>
      <c r="P62" s="15">
        <f t="shared" si="5"/>
        <v>-12.333333333333371</v>
      </c>
      <c r="Q62" s="195">
        <f t="shared" si="6"/>
        <v>0.95888888888888879</v>
      </c>
      <c r="R62" s="615">
        <f>Q67</f>
        <v>0.95846760129748743</v>
      </c>
      <c r="S62" s="34">
        <v>0.20833333333333334</v>
      </c>
      <c r="T62" s="34">
        <v>0.24583333333333335</v>
      </c>
      <c r="U62" s="196"/>
      <c r="V62" s="199">
        <f t="shared" ref="V62:V66" si="42">(T62-S62)*24*60</f>
        <v>54.000000000000007</v>
      </c>
      <c r="W62" s="21"/>
      <c r="X62" s="21"/>
      <c r="Y62" s="21"/>
      <c r="Z62" s="21"/>
      <c r="AA62" s="617"/>
      <c r="AB62" s="617"/>
      <c r="AC62" s="35">
        <v>5</v>
      </c>
      <c r="AD62" s="18"/>
      <c r="AE62" s="14">
        <f t="shared" ref="AE62:AE76" si="43">M62-J62</f>
        <v>-123.33333333333394</v>
      </c>
      <c r="AF62" s="195">
        <f t="shared" si="9"/>
        <v>0.95888888888888868</v>
      </c>
      <c r="AG62" s="615">
        <f>AF67</f>
        <v>0.95846760129748754</v>
      </c>
    </row>
    <row r="63" spans="1:33" ht="15.75" customHeight="1">
      <c r="A63" s="626" t="s">
        <v>738</v>
      </c>
      <c r="B63" s="200" t="s">
        <v>40</v>
      </c>
      <c r="C63" s="616" t="s">
        <v>50</v>
      </c>
      <c r="D63" s="616"/>
      <c r="E63" s="29">
        <v>34.36</v>
      </c>
      <c r="F63" s="32">
        <v>1150</v>
      </c>
      <c r="G63" s="196">
        <f t="shared" si="40"/>
        <v>39514</v>
      </c>
      <c r="H63" s="33" t="s">
        <v>57</v>
      </c>
      <c r="I63" s="198">
        <v>10</v>
      </c>
      <c r="J63" s="31">
        <v>3000</v>
      </c>
      <c r="K63" s="12">
        <f t="shared" si="1"/>
        <v>300</v>
      </c>
      <c r="L63" s="198">
        <v>10</v>
      </c>
      <c r="M63" s="13">
        <f t="shared" si="41"/>
        <v>2875.0000000000009</v>
      </c>
      <c r="N63" s="12">
        <f t="shared" si="3"/>
        <v>287.50000000000011</v>
      </c>
      <c r="O63" s="14">
        <f t="shared" si="4"/>
        <v>0</v>
      </c>
      <c r="P63" s="15">
        <f t="shared" si="5"/>
        <v>-12.499999999999886</v>
      </c>
      <c r="Q63" s="195">
        <f t="shared" si="6"/>
        <v>0.9583333333333337</v>
      </c>
      <c r="R63" s="615"/>
      <c r="S63" s="34">
        <v>0.25138888888888888</v>
      </c>
      <c r="T63" s="34">
        <v>0.26805555555555555</v>
      </c>
      <c r="U63" s="196">
        <f t="shared" ref="U63:U66" si="44">(S63-T62)*24*60</f>
        <v>7.9999999999999716</v>
      </c>
      <c r="V63" s="199">
        <f t="shared" si="42"/>
        <v>23.999999999999993</v>
      </c>
      <c r="W63" s="196"/>
      <c r="X63" s="196"/>
      <c r="Y63" s="196"/>
      <c r="Z63" s="196"/>
      <c r="AA63" s="617"/>
      <c r="AB63" s="617"/>
      <c r="AC63" s="35"/>
      <c r="AD63" s="18"/>
      <c r="AE63" s="14">
        <f t="shared" si="43"/>
        <v>-124.99999999999909</v>
      </c>
      <c r="AF63" s="195">
        <f t="shared" si="9"/>
        <v>0.95833333333333359</v>
      </c>
      <c r="AG63" s="615"/>
    </row>
    <row r="64" spans="1:33" ht="15.75" customHeight="1">
      <c r="A64" s="626" t="s">
        <v>278</v>
      </c>
      <c r="B64" s="200" t="s">
        <v>40</v>
      </c>
      <c r="C64" s="616" t="s">
        <v>51</v>
      </c>
      <c r="D64" s="616"/>
      <c r="E64" s="29">
        <v>26.78</v>
      </c>
      <c r="F64" s="32">
        <v>2877</v>
      </c>
      <c r="G64" s="196">
        <f t="shared" si="40"/>
        <v>77046.06</v>
      </c>
      <c r="H64" s="33" t="s">
        <v>57</v>
      </c>
      <c r="I64" s="198">
        <v>10</v>
      </c>
      <c r="J64" s="31">
        <v>3000</v>
      </c>
      <c r="K64" s="12">
        <f t="shared" si="1"/>
        <v>300</v>
      </c>
      <c r="L64" s="198">
        <v>10</v>
      </c>
      <c r="M64" s="13">
        <f t="shared" si="41"/>
        <v>2876.9999999999986</v>
      </c>
      <c r="N64" s="12">
        <f t="shared" si="3"/>
        <v>287.69999999999987</v>
      </c>
      <c r="O64" s="14">
        <f t="shared" si="4"/>
        <v>0</v>
      </c>
      <c r="P64" s="15">
        <f t="shared" si="5"/>
        <v>-12.300000000000125</v>
      </c>
      <c r="Q64" s="195">
        <f t="shared" si="6"/>
        <v>0.95899999999999963</v>
      </c>
      <c r="R64" s="615"/>
      <c r="S64" s="34">
        <v>0.27152777777777776</v>
      </c>
      <c r="T64" s="34">
        <v>0.31319444444444444</v>
      </c>
      <c r="U64" s="196">
        <f t="shared" si="44"/>
        <v>4.9999999999999822</v>
      </c>
      <c r="V64" s="199">
        <f t="shared" si="42"/>
        <v>60.000000000000028</v>
      </c>
      <c r="W64" s="196"/>
      <c r="X64" s="196"/>
      <c r="Y64" s="196"/>
      <c r="Z64" s="196"/>
      <c r="AA64" s="617"/>
      <c r="AB64" s="617"/>
      <c r="AC64" s="35"/>
      <c r="AD64" s="18"/>
      <c r="AE64" s="14">
        <f t="shared" si="43"/>
        <v>-123.00000000000136</v>
      </c>
      <c r="AF64" s="195">
        <f t="shared" si="9"/>
        <v>0.95899999999999952</v>
      </c>
      <c r="AG64" s="615"/>
    </row>
    <row r="65" spans="1:33" ht="15.75" customHeight="1">
      <c r="A65" s="626" t="s">
        <v>278</v>
      </c>
      <c r="B65" s="200" t="s">
        <v>40</v>
      </c>
      <c r="C65" s="616" t="s">
        <v>52</v>
      </c>
      <c r="D65" s="616"/>
      <c r="E65" s="29">
        <v>35.869999999999997</v>
      </c>
      <c r="F65" s="32">
        <v>4485</v>
      </c>
      <c r="G65" s="196">
        <f t="shared" si="40"/>
        <v>160876.94999999998</v>
      </c>
      <c r="H65" s="33" t="s">
        <v>57</v>
      </c>
      <c r="I65" s="198">
        <v>9</v>
      </c>
      <c r="J65" s="31">
        <v>3000</v>
      </c>
      <c r="K65" s="12">
        <f t="shared" si="1"/>
        <v>333.33333333333331</v>
      </c>
      <c r="L65" s="198">
        <v>9</v>
      </c>
      <c r="M65" s="13">
        <f t="shared" si="41"/>
        <v>2862.7659574468089</v>
      </c>
      <c r="N65" s="12">
        <f t="shared" si="3"/>
        <v>318.08510638297878</v>
      </c>
      <c r="O65" s="14">
        <f t="shared" si="4"/>
        <v>0</v>
      </c>
      <c r="P65" s="15">
        <f t="shared" si="5"/>
        <v>-15.248226950354535</v>
      </c>
      <c r="Q65" s="195">
        <f t="shared" si="6"/>
        <v>0.95425531914893635</v>
      </c>
      <c r="R65" s="615"/>
      <c r="S65" s="34">
        <v>0.31805555555555554</v>
      </c>
      <c r="T65" s="34">
        <v>0.3833333333333333</v>
      </c>
      <c r="U65" s="196">
        <f t="shared" si="44"/>
        <v>6.9999999999999751</v>
      </c>
      <c r="V65" s="199">
        <f t="shared" si="42"/>
        <v>93.999999999999986</v>
      </c>
      <c r="W65" s="196"/>
      <c r="X65" s="196"/>
      <c r="Y65" s="196"/>
      <c r="Z65" s="196"/>
      <c r="AA65" s="617"/>
      <c r="AB65" s="617"/>
      <c r="AC65" s="35"/>
      <c r="AD65" s="18"/>
      <c r="AE65" s="14">
        <f t="shared" si="43"/>
        <v>-137.2340425531911</v>
      </c>
      <c r="AF65" s="195">
        <f t="shared" si="9"/>
        <v>0.95425531914893635</v>
      </c>
      <c r="AG65" s="615"/>
    </row>
    <row r="66" spans="1:33">
      <c r="A66" s="627" t="s">
        <v>278</v>
      </c>
      <c r="B66" s="200" t="s">
        <v>40</v>
      </c>
      <c r="C66" s="616" t="s">
        <v>53</v>
      </c>
      <c r="D66" s="616"/>
      <c r="E66" s="29">
        <v>34.35</v>
      </c>
      <c r="F66" s="32">
        <v>2068</v>
      </c>
      <c r="G66" s="196">
        <f t="shared" si="40"/>
        <v>71035.8</v>
      </c>
      <c r="H66" s="33" t="s">
        <v>57</v>
      </c>
      <c r="I66" s="198">
        <v>8</v>
      </c>
      <c r="J66" s="31">
        <v>3000</v>
      </c>
      <c r="K66" s="12">
        <f t="shared" si="1"/>
        <v>375</v>
      </c>
      <c r="L66" s="198">
        <v>8</v>
      </c>
      <c r="M66" s="13">
        <f t="shared" si="41"/>
        <v>2885.5813953488368</v>
      </c>
      <c r="N66" s="12">
        <f t="shared" si="3"/>
        <v>360.69767441860461</v>
      </c>
      <c r="O66" s="14">
        <f t="shared" si="4"/>
        <v>0</v>
      </c>
      <c r="P66" s="15">
        <f t="shared" si="5"/>
        <v>-14.302325581395394</v>
      </c>
      <c r="Q66" s="195">
        <f t="shared" si="6"/>
        <v>0.96186046511627898</v>
      </c>
      <c r="R66" s="615"/>
      <c r="S66" s="34">
        <v>0.38888888888888884</v>
      </c>
      <c r="T66" s="34">
        <v>0.41874999999999996</v>
      </c>
      <c r="U66" s="196">
        <f t="shared" si="44"/>
        <v>7.9999999999999716</v>
      </c>
      <c r="V66" s="199">
        <f t="shared" si="42"/>
        <v>43.000000000000007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-114.41860465116315</v>
      </c>
      <c r="AF66" s="195">
        <f t="shared" si="9"/>
        <v>0.96186046511627898</v>
      </c>
      <c r="AG66" s="615"/>
    </row>
    <row r="67" spans="1:33">
      <c r="A67" s="627" t="s">
        <v>278</v>
      </c>
      <c r="B67" s="29" t="s">
        <v>6</v>
      </c>
      <c r="C67" s="618"/>
      <c r="D67" s="618"/>
      <c r="E67" s="197"/>
      <c r="F67" s="30"/>
      <c r="G67" s="12"/>
      <c r="H67" s="200"/>
      <c r="I67" s="23">
        <v>9.4</v>
      </c>
      <c r="J67" s="31">
        <v>3000</v>
      </c>
      <c r="K67" s="12">
        <f t="shared" si="1"/>
        <v>319.14893617021278</v>
      </c>
      <c r="L67" s="23">
        <v>9.4</v>
      </c>
      <c r="M67" s="13">
        <f>AVERAGE(M62:M66)</f>
        <v>2875.4028038924625</v>
      </c>
      <c r="N67" s="12">
        <f t="shared" si="3"/>
        <v>305.89391530770877</v>
      </c>
      <c r="O67" s="14">
        <f t="shared" si="4"/>
        <v>0</v>
      </c>
      <c r="P67" s="15">
        <f t="shared" si="5"/>
        <v>-13.255020862504011</v>
      </c>
      <c r="Q67" s="195">
        <f t="shared" si="6"/>
        <v>0.95846760129748743</v>
      </c>
      <c r="R67" s="615"/>
      <c r="S67" s="34"/>
      <c r="T67" s="34"/>
      <c r="U67" s="12"/>
      <c r="V67" s="199"/>
      <c r="W67" s="12"/>
      <c r="X67" s="12"/>
      <c r="Y67" s="24">
        <f>SUM(Y62:Y66)</f>
        <v>0</v>
      </c>
      <c r="Z67" s="24">
        <f>SUM(Z62:Z66)</f>
        <v>0</v>
      </c>
      <c r="AA67" s="614"/>
      <c r="AB67" s="614"/>
      <c r="AC67" s="24">
        <v>5</v>
      </c>
      <c r="AD67" s="24">
        <f>SUM(AD62:AD66)</f>
        <v>0</v>
      </c>
      <c r="AE67" s="14">
        <f t="shared" si="43"/>
        <v>-124.59719610753746</v>
      </c>
      <c r="AF67" s="195">
        <f t="shared" si="9"/>
        <v>0.95846760129748754</v>
      </c>
      <c r="AG67" s="615"/>
    </row>
    <row r="68" spans="1:33" ht="15.75" customHeight="1">
      <c r="A68" s="619" t="s">
        <v>14</v>
      </c>
      <c r="B68" s="200" t="s">
        <v>32</v>
      </c>
      <c r="C68" s="616" t="s">
        <v>56</v>
      </c>
      <c r="D68" s="616"/>
      <c r="E68" s="29">
        <v>19.02</v>
      </c>
      <c r="F68" s="200">
        <v>6900</v>
      </c>
      <c r="G68" s="196">
        <f t="shared" ref="G68:G75" si="45">E68*F68</f>
        <v>131238</v>
      </c>
      <c r="H68" s="33">
        <v>2</v>
      </c>
      <c r="I68" s="198">
        <v>14</v>
      </c>
      <c r="J68" s="31">
        <v>2400</v>
      </c>
      <c r="K68" s="12">
        <f t="shared" si="1"/>
        <v>171.42857142857142</v>
      </c>
      <c r="L68" s="198">
        <v>14</v>
      </c>
      <c r="M68" s="13">
        <f t="shared" ref="M68:M75" si="46">F68/V68*60</f>
        <v>2287.2928176795581</v>
      </c>
      <c r="N68" s="12">
        <f t="shared" si="3"/>
        <v>163.37805840568271</v>
      </c>
      <c r="O68" s="14">
        <f t="shared" si="4"/>
        <v>0</v>
      </c>
      <c r="P68" s="15">
        <f t="shared" si="5"/>
        <v>-8.0505130228887083</v>
      </c>
      <c r="Q68" s="195">
        <f t="shared" si="6"/>
        <v>0.95303867403314924</v>
      </c>
      <c r="R68" s="615">
        <f>Q76</f>
        <v>0.95532172759704304</v>
      </c>
      <c r="S68" s="34">
        <v>8.3333333333333329E-2</v>
      </c>
      <c r="T68" s="34">
        <v>0.20902777777777776</v>
      </c>
      <c r="U68" s="21"/>
      <c r="V68" s="199">
        <f t="shared" ref="V68:V75" si="47">(T68-S68)*24*60</f>
        <v>181</v>
      </c>
      <c r="W68" s="16">
        <f>T68</f>
        <v>0.20902777777777776</v>
      </c>
      <c r="X68" s="16">
        <f>S69</f>
        <v>0.22777777777777775</v>
      </c>
      <c r="Y68" s="16"/>
      <c r="Z68" s="16"/>
      <c r="AA68" s="617"/>
      <c r="AB68" s="617"/>
      <c r="AC68" s="35">
        <v>8</v>
      </c>
      <c r="AD68" s="18"/>
      <c r="AE68" s="14">
        <f t="shared" si="43"/>
        <v>-112.70718232044192</v>
      </c>
      <c r="AF68" s="195">
        <f t="shared" si="9"/>
        <v>0.95303867403314924</v>
      </c>
      <c r="AG68" s="615">
        <f>AF76</f>
        <v>0.95532172759704304</v>
      </c>
    </row>
    <row r="69" spans="1:33" ht="15.75" customHeight="1">
      <c r="A69" s="620" t="s">
        <v>739</v>
      </c>
      <c r="B69" s="200" t="s">
        <v>32</v>
      </c>
      <c r="C69" s="616" t="s">
        <v>54</v>
      </c>
      <c r="D69" s="616"/>
      <c r="E69" s="29">
        <v>20.21</v>
      </c>
      <c r="F69" s="200">
        <v>3769</v>
      </c>
      <c r="G69" s="196">
        <f t="shared" si="45"/>
        <v>76171.490000000005</v>
      </c>
      <c r="H69" s="33" t="s">
        <v>57</v>
      </c>
      <c r="I69" s="198">
        <v>15</v>
      </c>
      <c r="J69" s="31">
        <v>2400</v>
      </c>
      <c r="K69" s="12">
        <f t="shared" ref="K69:K76" si="48">J69/I69</f>
        <v>160</v>
      </c>
      <c r="L69" s="198">
        <v>15</v>
      </c>
      <c r="M69" s="13">
        <f t="shared" si="46"/>
        <v>2284.2424242424249</v>
      </c>
      <c r="N69" s="12">
        <f t="shared" ref="N69:N76" si="49">M69/L69</f>
        <v>152.28282828282832</v>
      </c>
      <c r="O69" s="14">
        <f t="shared" ref="O69:O76" si="50">L69-I69</f>
        <v>0</v>
      </c>
      <c r="P69" s="15">
        <f t="shared" ref="P69:P76" si="51">N69-K69</f>
        <v>-7.7171717171716807</v>
      </c>
      <c r="Q69" s="195">
        <f t="shared" ref="Q69:Q76" si="52">N69/K69</f>
        <v>0.95176767676767704</v>
      </c>
      <c r="R69" s="615"/>
      <c r="S69" s="34">
        <v>0.22777777777777775</v>
      </c>
      <c r="T69" s="34">
        <v>0.29652777777777772</v>
      </c>
      <c r="U69" s="196">
        <f t="shared" ref="U69:U75" si="53">(S69-T68)*24*60</f>
        <v>26.999999999999986</v>
      </c>
      <c r="V69" s="199">
        <f t="shared" si="47"/>
        <v>98.999999999999972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-115.75757575757507</v>
      </c>
      <c r="AF69" s="195">
        <f t="shared" ref="AF69:AF76" si="54">M69/J69</f>
        <v>0.95176767676767704</v>
      </c>
      <c r="AG69" s="615"/>
    </row>
    <row r="70" spans="1:33" ht="15.75" customHeight="1">
      <c r="A70" s="620" t="s">
        <v>739</v>
      </c>
      <c r="B70" s="200" t="s">
        <v>32</v>
      </c>
      <c r="C70" s="616" t="s">
        <v>84</v>
      </c>
      <c r="D70" s="616"/>
      <c r="E70" s="29">
        <v>20.21</v>
      </c>
      <c r="F70" s="200">
        <v>3300</v>
      </c>
      <c r="G70" s="196">
        <f t="shared" si="45"/>
        <v>66693</v>
      </c>
      <c r="H70" s="33">
        <v>2</v>
      </c>
      <c r="I70" s="198">
        <v>18</v>
      </c>
      <c r="J70" s="31">
        <v>2400</v>
      </c>
      <c r="K70" s="12">
        <f t="shared" si="48"/>
        <v>133.33333333333334</v>
      </c>
      <c r="L70" s="198">
        <v>18</v>
      </c>
      <c r="M70" s="13">
        <f t="shared" si="46"/>
        <v>2302.3255813953483</v>
      </c>
      <c r="N70" s="12">
        <f t="shared" si="49"/>
        <v>127.90697674418601</v>
      </c>
      <c r="O70" s="14">
        <f t="shared" si="50"/>
        <v>0</v>
      </c>
      <c r="P70" s="15">
        <f t="shared" si="51"/>
        <v>-5.426356589147332</v>
      </c>
      <c r="Q70" s="195">
        <f t="shared" si="52"/>
        <v>0.95930232558139505</v>
      </c>
      <c r="R70" s="615"/>
      <c r="S70" s="34">
        <v>0.29999999999999993</v>
      </c>
      <c r="T70" s="34">
        <v>0.35972222222222217</v>
      </c>
      <c r="U70" s="196">
        <f t="shared" si="53"/>
        <v>4.9999999999999822</v>
      </c>
      <c r="V70" s="199">
        <f t="shared" si="47"/>
        <v>86.000000000000014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-97.674418604651692</v>
      </c>
      <c r="AF70" s="195">
        <f t="shared" si="54"/>
        <v>0.95930232558139517</v>
      </c>
      <c r="AG70" s="615"/>
    </row>
    <row r="71" spans="1:33" ht="15.75" customHeight="1">
      <c r="A71" s="620" t="s">
        <v>739</v>
      </c>
      <c r="B71" s="200" t="s">
        <v>32</v>
      </c>
      <c r="C71" s="616" t="s">
        <v>36</v>
      </c>
      <c r="D71" s="616"/>
      <c r="E71" s="29">
        <v>20.36</v>
      </c>
      <c r="F71" s="200">
        <v>3200</v>
      </c>
      <c r="G71" s="196">
        <f t="shared" si="45"/>
        <v>65152</v>
      </c>
      <c r="H71" s="33">
        <v>2</v>
      </c>
      <c r="I71" s="198">
        <v>17</v>
      </c>
      <c r="J71" s="31">
        <v>2400</v>
      </c>
      <c r="K71" s="12">
        <f t="shared" si="48"/>
        <v>141.1764705882353</v>
      </c>
      <c r="L71" s="198">
        <v>17</v>
      </c>
      <c r="M71" s="13">
        <f t="shared" si="46"/>
        <v>2285.7142857142849</v>
      </c>
      <c r="N71" s="12">
        <f t="shared" si="49"/>
        <v>134.45378151260499</v>
      </c>
      <c r="O71" s="14">
        <f t="shared" si="50"/>
        <v>0</v>
      </c>
      <c r="P71" s="15">
        <f t="shared" si="51"/>
        <v>-6.7226890756303135</v>
      </c>
      <c r="Q71" s="195">
        <f t="shared" si="52"/>
        <v>0.952380952380952</v>
      </c>
      <c r="R71" s="615"/>
      <c r="S71" s="34">
        <v>0.36319444444444438</v>
      </c>
      <c r="T71" s="34">
        <v>0.42152777777777772</v>
      </c>
      <c r="U71" s="196">
        <f t="shared" si="53"/>
        <v>4.9999999999999822</v>
      </c>
      <c r="V71" s="199">
        <f t="shared" si="47"/>
        <v>84.000000000000028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-114.28571428571513</v>
      </c>
      <c r="AF71" s="195">
        <f t="shared" si="54"/>
        <v>0.952380952380952</v>
      </c>
      <c r="AG71" s="615"/>
    </row>
    <row r="72" spans="1:33" ht="15.75" customHeight="1">
      <c r="A72" s="620" t="s">
        <v>14</v>
      </c>
      <c r="B72" s="200" t="s">
        <v>32</v>
      </c>
      <c r="C72" s="616" t="s">
        <v>55</v>
      </c>
      <c r="D72" s="616"/>
      <c r="E72" s="29">
        <v>22.69</v>
      </c>
      <c r="F72" s="200">
        <v>4452</v>
      </c>
      <c r="G72" s="196">
        <f t="shared" si="45"/>
        <v>101015.88</v>
      </c>
      <c r="H72" s="33" t="s">
        <v>57</v>
      </c>
      <c r="I72" s="198">
        <v>15</v>
      </c>
      <c r="J72" s="31">
        <v>2400</v>
      </c>
      <c r="K72" s="12">
        <f t="shared" si="48"/>
        <v>160</v>
      </c>
      <c r="L72" s="198">
        <v>15</v>
      </c>
      <c r="M72" s="13">
        <f t="shared" si="46"/>
        <v>2302.758620689654</v>
      </c>
      <c r="N72" s="12">
        <f t="shared" si="49"/>
        <v>153.51724137931026</v>
      </c>
      <c r="O72" s="14">
        <f t="shared" si="50"/>
        <v>0</v>
      </c>
      <c r="P72" s="15">
        <f t="shared" si="51"/>
        <v>-6.4827586206897365</v>
      </c>
      <c r="Q72" s="195">
        <f t="shared" si="52"/>
        <v>0.9594827586206891</v>
      </c>
      <c r="R72" s="615"/>
      <c r="S72" s="34">
        <v>0.42499999999999993</v>
      </c>
      <c r="T72" s="34">
        <v>0.50555555555555554</v>
      </c>
      <c r="U72" s="196">
        <f t="shared" si="53"/>
        <v>4.9999999999999822</v>
      </c>
      <c r="V72" s="199">
        <f t="shared" si="47"/>
        <v>116.00000000000007</v>
      </c>
      <c r="W72" s="16">
        <f>T72</f>
        <v>0.50555555555555554</v>
      </c>
      <c r="X72" s="16">
        <f>S73</f>
        <v>0.54583333333333328</v>
      </c>
      <c r="Y72" s="16"/>
      <c r="Z72" s="16"/>
      <c r="AA72" s="617"/>
      <c r="AB72" s="617"/>
      <c r="AC72" s="35"/>
      <c r="AD72" s="18"/>
      <c r="AE72" s="14">
        <f t="shared" si="43"/>
        <v>-97.241379310346019</v>
      </c>
      <c r="AF72" s="195">
        <f t="shared" si="54"/>
        <v>0.95948275862068921</v>
      </c>
      <c r="AG72" s="615"/>
    </row>
    <row r="73" spans="1:33" ht="15.75" customHeight="1">
      <c r="A73" s="620" t="s">
        <v>739</v>
      </c>
      <c r="B73" s="200" t="s">
        <v>32</v>
      </c>
      <c r="C73" s="616" t="s">
        <v>36</v>
      </c>
      <c r="D73" s="616"/>
      <c r="E73" s="29">
        <v>20.36</v>
      </c>
      <c r="F73" s="200">
        <v>2516</v>
      </c>
      <c r="G73" s="196">
        <f t="shared" si="45"/>
        <v>51225.760000000002</v>
      </c>
      <c r="H73" s="33" t="s">
        <v>57</v>
      </c>
      <c r="I73" s="198">
        <v>17</v>
      </c>
      <c r="J73" s="31">
        <v>2400</v>
      </c>
      <c r="K73" s="12">
        <f t="shared" si="48"/>
        <v>141.1764705882353</v>
      </c>
      <c r="L73" s="198">
        <v>17</v>
      </c>
      <c r="M73" s="13">
        <f t="shared" si="46"/>
        <v>2287.2727272727298</v>
      </c>
      <c r="N73" s="12">
        <f t="shared" si="49"/>
        <v>134.5454545454547</v>
      </c>
      <c r="O73" s="14">
        <f t="shared" si="50"/>
        <v>0</v>
      </c>
      <c r="P73" s="15">
        <f t="shared" si="51"/>
        <v>-6.6310160427806011</v>
      </c>
      <c r="Q73" s="195">
        <f t="shared" si="52"/>
        <v>0.95303030303030412</v>
      </c>
      <c r="R73" s="615"/>
      <c r="S73" s="34">
        <v>0.54583333333333328</v>
      </c>
      <c r="T73" s="34">
        <v>0.59166666666666656</v>
      </c>
      <c r="U73" s="196">
        <f t="shared" si="53"/>
        <v>57.999999999999957</v>
      </c>
      <c r="V73" s="199">
        <f t="shared" si="47"/>
        <v>65.999999999999929</v>
      </c>
      <c r="W73" s="16"/>
      <c r="X73" s="16"/>
      <c r="Y73" s="16"/>
      <c r="Z73" s="16"/>
      <c r="AA73" s="617"/>
      <c r="AB73" s="617"/>
      <c r="AC73" s="35"/>
      <c r="AD73" s="18"/>
      <c r="AE73" s="14">
        <f t="shared" si="43"/>
        <v>-112.72727272727025</v>
      </c>
      <c r="AF73" s="195">
        <f t="shared" si="54"/>
        <v>0.95303030303030412</v>
      </c>
      <c r="AG73" s="615"/>
    </row>
    <row r="74" spans="1:33" ht="15.75" customHeight="1">
      <c r="A74" s="620" t="s">
        <v>14</v>
      </c>
      <c r="B74" s="200" t="s">
        <v>32</v>
      </c>
      <c r="C74" s="622" t="s">
        <v>84</v>
      </c>
      <c r="D74" s="623"/>
      <c r="E74" s="29">
        <v>20.21</v>
      </c>
      <c r="F74" s="200">
        <v>2573</v>
      </c>
      <c r="G74" s="196">
        <f t="shared" si="45"/>
        <v>52000.33</v>
      </c>
      <c r="H74" s="33" t="s">
        <v>57</v>
      </c>
      <c r="I74" s="198">
        <v>18</v>
      </c>
      <c r="J74" s="31">
        <v>2400</v>
      </c>
      <c r="K74" s="12">
        <f t="shared" si="48"/>
        <v>133.33333333333334</v>
      </c>
      <c r="L74" s="198">
        <v>18</v>
      </c>
      <c r="M74" s="13">
        <f t="shared" si="46"/>
        <v>2304.1791044776146</v>
      </c>
      <c r="N74" s="12">
        <f t="shared" si="49"/>
        <v>128.00995024875635</v>
      </c>
      <c r="O74" s="14">
        <f t="shared" si="50"/>
        <v>0</v>
      </c>
      <c r="P74" s="15">
        <f t="shared" si="51"/>
        <v>-5.3233830845769887</v>
      </c>
      <c r="Q74" s="195">
        <f t="shared" si="52"/>
        <v>0.96007462686567258</v>
      </c>
      <c r="R74" s="615"/>
      <c r="S74" s="34">
        <v>0.5972222222222221</v>
      </c>
      <c r="T74" s="34">
        <v>0.64374999999999982</v>
      </c>
      <c r="U74" s="196">
        <f t="shared" si="53"/>
        <v>7.9999999999999716</v>
      </c>
      <c r="V74" s="199">
        <f t="shared" si="47"/>
        <v>66.999999999999915</v>
      </c>
      <c r="W74" s="16"/>
      <c r="X74" s="16"/>
      <c r="Y74" s="19"/>
      <c r="Z74" s="19"/>
      <c r="AA74" s="624"/>
      <c r="AB74" s="625"/>
      <c r="AC74" s="35"/>
      <c r="AD74" s="18"/>
      <c r="AE74" s="14">
        <f t="shared" si="43"/>
        <v>-95.820895522385399</v>
      </c>
      <c r="AF74" s="195">
        <f t="shared" si="54"/>
        <v>0.9600746268656728</v>
      </c>
      <c r="AG74" s="615"/>
    </row>
    <row r="75" spans="1:33" ht="15.75" customHeight="1">
      <c r="A75" s="620" t="s">
        <v>14</v>
      </c>
      <c r="B75" s="200" t="s">
        <v>32</v>
      </c>
      <c r="C75" s="622" t="s">
        <v>56</v>
      </c>
      <c r="D75" s="623"/>
      <c r="E75" s="29">
        <v>19.02</v>
      </c>
      <c r="F75" s="200">
        <v>5454</v>
      </c>
      <c r="G75" s="196">
        <f t="shared" si="45"/>
        <v>103735.08</v>
      </c>
      <c r="H75" s="33" t="s">
        <v>57</v>
      </c>
      <c r="I75" s="198">
        <v>14</v>
      </c>
      <c r="J75" s="31">
        <v>2400</v>
      </c>
      <c r="K75" s="12">
        <f t="shared" si="48"/>
        <v>171.42857142857142</v>
      </c>
      <c r="L75" s="198">
        <v>14</v>
      </c>
      <c r="M75" s="13">
        <f t="shared" si="46"/>
        <v>2288.3916083916088</v>
      </c>
      <c r="N75" s="12">
        <f t="shared" si="49"/>
        <v>163.45654345654347</v>
      </c>
      <c r="O75" s="14">
        <f t="shared" si="50"/>
        <v>0</v>
      </c>
      <c r="P75" s="15">
        <f t="shared" si="51"/>
        <v>-7.972027972027945</v>
      </c>
      <c r="Q75" s="195">
        <f t="shared" si="52"/>
        <v>0.95349650349650361</v>
      </c>
      <c r="R75" s="615"/>
      <c r="S75" s="34">
        <v>0.64791666666666647</v>
      </c>
      <c r="T75" s="34">
        <v>0.74722222222222201</v>
      </c>
      <c r="U75" s="196">
        <f t="shared" si="53"/>
        <v>5.9999999999999787</v>
      </c>
      <c r="V75" s="199">
        <f t="shared" si="47"/>
        <v>142.99999999999997</v>
      </c>
      <c r="W75" s="16"/>
      <c r="X75" s="16"/>
      <c r="Y75" s="19"/>
      <c r="Z75" s="19"/>
      <c r="AA75" s="624"/>
      <c r="AB75" s="625"/>
      <c r="AC75" s="35"/>
      <c r="AD75" s="18"/>
      <c r="AE75" s="14">
        <f t="shared" si="43"/>
        <v>-111.60839160839123</v>
      </c>
      <c r="AF75" s="195">
        <f t="shared" si="54"/>
        <v>0.95349650349650361</v>
      </c>
      <c r="AG75" s="615"/>
    </row>
    <row r="76" spans="1:33" ht="16.5" customHeight="1">
      <c r="A76" s="621" t="s">
        <v>14</v>
      </c>
      <c r="B76" s="29" t="s">
        <v>6</v>
      </c>
      <c r="C76" s="612"/>
      <c r="D76" s="613"/>
      <c r="E76" s="197"/>
      <c r="F76" s="30"/>
      <c r="G76" s="12"/>
      <c r="H76" s="200"/>
      <c r="I76" s="23">
        <v>16</v>
      </c>
      <c r="J76" s="31">
        <v>2400</v>
      </c>
      <c r="K76" s="12">
        <f t="shared" si="48"/>
        <v>150</v>
      </c>
      <c r="L76" s="23">
        <v>16</v>
      </c>
      <c r="M76" s="13">
        <f>AVERAGE(M68:M75)</f>
        <v>2292.7721462329032</v>
      </c>
      <c r="N76" s="12">
        <f t="shared" si="49"/>
        <v>143.29825913955645</v>
      </c>
      <c r="O76" s="14">
        <f t="shared" si="50"/>
        <v>0</v>
      </c>
      <c r="P76" s="15">
        <f t="shared" si="51"/>
        <v>-6.7017408604435502</v>
      </c>
      <c r="Q76" s="195">
        <f t="shared" si="52"/>
        <v>0.95532172759704304</v>
      </c>
      <c r="R76" s="615"/>
      <c r="S76" s="34"/>
      <c r="T76" s="34"/>
      <c r="U76" s="12"/>
      <c r="V76" s="199"/>
      <c r="W76" s="12"/>
      <c r="X76" s="12"/>
      <c r="Y76" s="24">
        <f>SUM(Y68:Y75)</f>
        <v>0</v>
      </c>
      <c r="Z76" s="24">
        <f>SUM(Z68:Z75)</f>
        <v>0</v>
      </c>
      <c r="AA76" s="614"/>
      <c r="AB76" s="614"/>
      <c r="AC76" s="24">
        <v>8</v>
      </c>
      <c r="AD76" s="24">
        <f>SUM(AD68:AD75)</f>
        <v>0</v>
      </c>
      <c r="AE76" s="14">
        <f t="shared" si="43"/>
        <v>-107.2278537670968</v>
      </c>
      <c r="AF76" s="195">
        <f t="shared" si="54"/>
        <v>0.95532172759704304</v>
      </c>
      <c r="AG76" s="615"/>
    </row>
    <row r="77" spans="1:33">
      <c r="D77" s="25"/>
      <c r="E77" s="25"/>
    </row>
  </sheetData>
  <mergeCells count="199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16:A24"/>
    <mergeCell ref="C16:D16"/>
    <mergeCell ref="R16:R24"/>
    <mergeCell ref="AA16:AB16"/>
    <mergeCell ref="AA24:AB24"/>
    <mergeCell ref="A10:A15"/>
    <mergeCell ref="C10:D10"/>
    <mergeCell ref="R10:R15"/>
    <mergeCell ref="AA10:AB10"/>
    <mergeCell ref="AG16:AG24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4:D24"/>
    <mergeCell ref="A25:A31"/>
    <mergeCell ref="C25:D25"/>
    <mergeCell ref="R25:R31"/>
    <mergeCell ref="AA25:AB25"/>
    <mergeCell ref="AG25:AG31"/>
    <mergeCell ref="C26:D26"/>
    <mergeCell ref="AA26:AB26"/>
    <mergeCell ref="C27:D27"/>
    <mergeCell ref="AA27:AB27"/>
    <mergeCell ref="C28:D28"/>
    <mergeCell ref="AG32:AG39"/>
    <mergeCell ref="C33:D33"/>
    <mergeCell ref="AA33:AB33"/>
    <mergeCell ref="C34:D34"/>
    <mergeCell ref="AA34:AB34"/>
    <mergeCell ref="C35:D35"/>
    <mergeCell ref="AA28:AB28"/>
    <mergeCell ref="C29:D29"/>
    <mergeCell ref="AA29:AB29"/>
    <mergeCell ref="C30:D30"/>
    <mergeCell ref="AA30:AB30"/>
    <mergeCell ref="C31:D31"/>
    <mergeCell ref="AA31:AB31"/>
    <mergeCell ref="AA35:AB35"/>
    <mergeCell ref="C36:D36"/>
    <mergeCell ref="AA36:AB36"/>
    <mergeCell ref="C37:D37"/>
    <mergeCell ref="AA37:AB37"/>
    <mergeCell ref="C38:D38"/>
    <mergeCell ref="AA38:AB38"/>
    <mergeCell ref="A32:A39"/>
    <mergeCell ref="C32:D32"/>
    <mergeCell ref="R32:R39"/>
    <mergeCell ref="AA32:AB32"/>
    <mergeCell ref="C39:D39"/>
    <mergeCell ref="AA39:AB39"/>
    <mergeCell ref="A40:A48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G62:AG67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C67:D67"/>
    <mergeCell ref="AA67:AB67"/>
    <mergeCell ref="A68:A76"/>
    <mergeCell ref="C68:D68"/>
    <mergeCell ref="R68:R76"/>
    <mergeCell ref="AA68:AB68"/>
    <mergeCell ref="AA73:AB73"/>
    <mergeCell ref="A62:A67"/>
    <mergeCell ref="C62:D62"/>
    <mergeCell ref="R62:R67"/>
    <mergeCell ref="AA62:AB62"/>
    <mergeCell ref="C74:D74"/>
    <mergeCell ref="AA74:AB74"/>
    <mergeCell ref="C75:D75"/>
    <mergeCell ref="AA75:AB75"/>
    <mergeCell ref="C76:D76"/>
    <mergeCell ref="AA76:AB76"/>
    <mergeCell ref="AG68:AG76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</mergeCells>
  <phoneticPr fontId="3" type="noConversion"/>
  <conditionalFormatting sqref="O65:O73 O61:O62 O76 O5:O10 O15:O17 O24:O59">
    <cfRule type="cellIs" dxfId="482" priority="61" operator="greaterThan">
      <formula>0</formula>
    </cfRule>
  </conditionalFormatting>
  <conditionalFormatting sqref="P5:P8 P65:P66 AE65:AE66 P68:P73 P32:P38 P62 P10 P15:P17 P25:P30 P54:P59 P40:P52 AE5:AE62 AE68:AE76">
    <cfRule type="cellIs" dxfId="481" priority="65" operator="lessThan">
      <formula>0</formula>
    </cfRule>
  </conditionalFormatting>
  <conditionalFormatting sqref="AF65:AF66 Q65:Q73 Q61:Q62 Q76 Q5:Q10 Q15:Q17 Q24:Q59 AF5:AF62 AF68:AF76">
    <cfRule type="cellIs" dxfId="480" priority="62" operator="greaterThan">
      <formula>1</formula>
    </cfRule>
    <cfRule type="cellIs" dxfId="479" priority="63" operator="lessThan">
      <formula>0.8</formula>
    </cfRule>
  </conditionalFormatting>
  <conditionalFormatting sqref="AG16:AG17 R16:R17 AG65 R65:R73 AG61:AG62 R61:R62 R76 AG5:AG10 R5:R10 AG24:AG59 R24:R59">
    <cfRule type="cellIs" dxfId="478" priority="67" operator="lessThan">
      <formula>0.8</formula>
    </cfRule>
  </conditionalFormatting>
  <conditionalFormatting sqref="AG49">
    <cfRule type="cellIs" dxfId="477" priority="69" operator="lessThan">
      <formula>0.8</formula>
    </cfRule>
  </conditionalFormatting>
  <conditionalFormatting sqref="AG25:AG30">
    <cfRule type="cellIs" dxfId="476" priority="66" operator="lessThan">
      <formula>0.8</formula>
    </cfRule>
  </conditionalFormatting>
  <conditionalFormatting sqref="AG32">
    <cfRule type="cellIs" dxfId="475" priority="68" operator="lessThan">
      <formula>0.8</formula>
    </cfRule>
  </conditionalFormatting>
  <conditionalFormatting sqref="AG40:AG47">
    <cfRule type="cellIs" dxfId="474" priority="64" operator="lessThan">
      <formula>0.8</formula>
    </cfRule>
  </conditionalFormatting>
  <conditionalFormatting sqref="AE67">
    <cfRule type="cellIs" dxfId="473" priority="60" operator="lessThan">
      <formula>0</formula>
    </cfRule>
  </conditionalFormatting>
  <conditionalFormatting sqref="AF67">
    <cfRule type="cellIs" dxfId="472" priority="58" operator="greaterThan">
      <formula>1</formula>
    </cfRule>
    <cfRule type="cellIs" dxfId="471" priority="59" operator="lessThan">
      <formula>0.8</formula>
    </cfRule>
  </conditionalFormatting>
  <conditionalFormatting sqref="O18:O19">
    <cfRule type="cellIs" dxfId="470" priority="53" operator="greaterThan">
      <formula>0</formula>
    </cfRule>
  </conditionalFormatting>
  <conditionalFormatting sqref="P18:P19">
    <cfRule type="cellIs" dxfId="469" priority="56" operator="lessThan">
      <formula>0</formula>
    </cfRule>
  </conditionalFormatting>
  <conditionalFormatting sqref="Q18:Q19">
    <cfRule type="cellIs" dxfId="468" priority="54" operator="greaterThan">
      <formula>1</formula>
    </cfRule>
    <cfRule type="cellIs" dxfId="467" priority="55" operator="lessThan">
      <formula>0.8</formula>
    </cfRule>
  </conditionalFormatting>
  <conditionalFormatting sqref="R18:R19 AG18:AG19">
    <cfRule type="cellIs" dxfId="466" priority="57" operator="lessThan">
      <formula>0.8</formula>
    </cfRule>
  </conditionalFormatting>
  <conditionalFormatting sqref="O11:O14">
    <cfRule type="cellIs" dxfId="465" priority="49" operator="greaterThan">
      <formula>0</formula>
    </cfRule>
  </conditionalFormatting>
  <conditionalFormatting sqref="P11:P14">
    <cfRule type="cellIs" dxfId="464" priority="52" operator="lessThan">
      <formula>0</formula>
    </cfRule>
  </conditionalFormatting>
  <conditionalFormatting sqref="Q11:Q14">
    <cfRule type="cellIs" dxfId="463" priority="50" operator="greaterThan">
      <formula>1</formula>
    </cfRule>
    <cfRule type="cellIs" dxfId="462" priority="51" operator="lessThan">
      <formula>0.8</formula>
    </cfRule>
  </conditionalFormatting>
  <conditionalFormatting sqref="O60">
    <cfRule type="cellIs" dxfId="461" priority="44" operator="greaterThan">
      <formula>0</formula>
    </cfRule>
  </conditionalFormatting>
  <conditionalFormatting sqref="P60">
    <cfRule type="cellIs" dxfId="460" priority="47" operator="lessThan">
      <formula>0</formula>
    </cfRule>
  </conditionalFormatting>
  <conditionalFormatting sqref="Q60">
    <cfRule type="cellIs" dxfId="459" priority="45" operator="greaterThan">
      <formula>1</formula>
    </cfRule>
    <cfRule type="cellIs" dxfId="458" priority="46" operator="lessThan">
      <formula>0.8</formula>
    </cfRule>
  </conditionalFormatting>
  <conditionalFormatting sqref="R60 AG60">
    <cfRule type="cellIs" dxfId="457" priority="48" operator="lessThan">
      <formula>0.8</formula>
    </cfRule>
  </conditionalFormatting>
  <conditionalFormatting sqref="O64">
    <cfRule type="cellIs" dxfId="456" priority="39" operator="greaterThan">
      <formula>0</formula>
    </cfRule>
  </conditionalFormatting>
  <conditionalFormatting sqref="P64 AE64">
    <cfRule type="cellIs" dxfId="455" priority="42" operator="lessThan">
      <formula>0</formula>
    </cfRule>
  </conditionalFormatting>
  <conditionalFormatting sqref="Q64 AF64">
    <cfRule type="cellIs" dxfId="454" priority="40" operator="greaterThan">
      <formula>1</formula>
    </cfRule>
    <cfRule type="cellIs" dxfId="453" priority="41" operator="lessThan">
      <formula>0.8</formula>
    </cfRule>
  </conditionalFormatting>
  <conditionalFormatting sqref="R64 AG64">
    <cfRule type="cellIs" dxfId="452" priority="43" operator="lessThan">
      <formula>0.8</formula>
    </cfRule>
  </conditionalFormatting>
  <conditionalFormatting sqref="O74">
    <cfRule type="cellIs" dxfId="451" priority="34" operator="greaterThan">
      <formula>0</formula>
    </cfRule>
  </conditionalFormatting>
  <conditionalFormatting sqref="P74">
    <cfRule type="cellIs" dxfId="450" priority="37" operator="lessThan">
      <formula>0</formula>
    </cfRule>
  </conditionalFormatting>
  <conditionalFormatting sqref="Q74">
    <cfRule type="cellIs" dxfId="449" priority="35" operator="greaterThan">
      <formula>1</formula>
    </cfRule>
    <cfRule type="cellIs" dxfId="448" priority="36" operator="lessThan">
      <formula>0.8</formula>
    </cfRule>
  </conditionalFormatting>
  <conditionalFormatting sqref="R74">
    <cfRule type="cellIs" dxfId="447" priority="38" operator="lessThan">
      <formula>0.8</formula>
    </cfRule>
  </conditionalFormatting>
  <conditionalFormatting sqref="O20:O21">
    <cfRule type="cellIs" dxfId="446" priority="29" operator="greaterThan">
      <formula>0</formula>
    </cfRule>
  </conditionalFormatting>
  <conditionalFormatting sqref="P20:P21">
    <cfRule type="cellIs" dxfId="445" priority="32" operator="lessThan">
      <formula>0</formula>
    </cfRule>
  </conditionalFormatting>
  <conditionalFormatting sqref="Q20:Q21">
    <cfRule type="cellIs" dxfId="444" priority="30" operator="greaterThan">
      <formula>1</formula>
    </cfRule>
    <cfRule type="cellIs" dxfId="443" priority="31" operator="lessThan">
      <formula>0.8</formula>
    </cfRule>
  </conditionalFormatting>
  <conditionalFormatting sqref="R20:R21 AG20:AG21">
    <cfRule type="cellIs" dxfId="442" priority="33" operator="lessThan">
      <formula>0.8</formula>
    </cfRule>
  </conditionalFormatting>
  <conditionalFormatting sqref="O63">
    <cfRule type="cellIs" dxfId="441" priority="24" operator="greaterThan">
      <formula>0</formula>
    </cfRule>
  </conditionalFormatting>
  <conditionalFormatting sqref="P63 AE63">
    <cfRule type="cellIs" dxfId="440" priority="27" operator="lessThan">
      <formula>0</formula>
    </cfRule>
  </conditionalFormatting>
  <conditionalFormatting sqref="Q63 AF63">
    <cfRule type="cellIs" dxfId="439" priority="25" operator="greaterThan">
      <formula>1</formula>
    </cfRule>
    <cfRule type="cellIs" dxfId="438" priority="26" operator="lessThan">
      <formula>0.8</formula>
    </cfRule>
  </conditionalFormatting>
  <conditionalFormatting sqref="R63 AG63">
    <cfRule type="cellIs" dxfId="437" priority="28" operator="lessThan">
      <formula>0.8</formula>
    </cfRule>
  </conditionalFormatting>
  <conditionalFormatting sqref="O22">
    <cfRule type="cellIs" dxfId="436" priority="19" operator="greaterThan">
      <formula>0</formula>
    </cfRule>
  </conditionalFormatting>
  <conditionalFormatting sqref="P22">
    <cfRule type="cellIs" dxfId="435" priority="22" operator="lessThan">
      <formula>0</formula>
    </cfRule>
  </conditionalFormatting>
  <conditionalFormatting sqref="Q22">
    <cfRule type="cellIs" dxfId="434" priority="20" operator="greaterThan">
      <formula>1</formula>
    </cfRule>
    <cfRule type="cellIs" dxfId="433" priority="21" operator="lessThan">
      <formula>0.8</formula>
    </cfRule>
  </conditionalFormatting>
  <conditionalFormatting sqref="AG22 R22">
    <cfRule type="cellIs" dxfId="432" priority="23" operator="lessThan">
      <formula>0.8</formula>
    </cfRule>
  </conditionalFormatting>
  <conditionalFormatting sqref="O23">
    <cfRule type="cellIs" dxfId="431" priority="14" operator="greaterThan">
      <formula>0</formula>
    </cfRule>
  </conditionalFormatting>
  <conditionalFormatting sqref="P23">
    <cfRule type="cellIs" dxfId="430" priority="17" operator="lessThan">
      <formula>0</formula>
    </cfRule>
  </conditionalFormatting>
  <conditionalFormatting sqref="Q23">
    <cfRule type="cellIs" dxfId="429" priority="15" operator="greaterThan">
      <formula>1</formula>
    </cfRule>
    <cfRule type="cellIs" dxfId="428" priority="16" operator="lessThan">
      <formula>0.8</formula>
    </cfRule>
  </conditionalFormatting>
  <conditionalFormatting sqref="AG23 R23">
    <cfRule type="cellIs" dxfId="427" priority="18" operator="lessThan">
      <formula>0.8</formula>
    </cfRule>
  </conditionalFormatting>
  <conditionalFormatting sqref="P9">
    <cfRule type="cellIs" dxfId="426" priority="13" operator="lessThan">
      <formula>0</formula>
    </cfRule>
  </conditionalFormatting>
  <conditionalFormatting sqref="P24">
    <cfRule type="cellIs" dxfId="425" priority="12" operator="lessThan">
      <formula>0</formula>
    </cfRule>
  </conditionalFormatting>
  <conditionalFormatting sqref="P31">
    <cfRule type="cellIs" dxfId="424" priority="11" operator="lessThan">
      <formula>0</formula>
    </cfRule>
  </conditionalFormatting>
  <conditionalFormatting sqref="P39">
    <cfRule type="cellIs" dxfId="423" priority="10" operator="lessThan">
      <formula>0</formula>
    </cfRule>
  </conditionalFormatting>
  <conditionalFormatting sqref="P53">
    <cfRule type="cellIs" dxfId="422" priority="9" operator="lessThan">
      <formula>0</formula>
    </cfRule>
  </conditionalFormatting>
  <conditionalFormatting sqref="P61">
    <cfRule type="cellIs" dxfId="421" priority="8" operator="lessThan">
      <formula>0</formula>
    </cfRule>
  </conditionalFormatting>
  <conditionalFormatting sqref="P67">
    <cfRule type="cellIs" dxfId="420" priority="7" operator="lessThan">
      <formula>0</formula>
    </cfRule>
  </conditionalFormatting>
  <conditionalFormatting sqref="P76">
    <cfRule type="cellIs" dxfId="419" priority="6" operator="lessThan">
      <formula>0</formula>
    </cfRule>
  </conditionalFormatting>
  <conditionalFormatting sqref="O75">
    <cfRule type="cellIs" dxfId="418" priority="1" operator="greaterThan">
      <formula>0</formula>
    </cfRule>
  </conditionalFormatting>
  <conditionalFormatting sqref="P75">
    <cfRule type="cellIs" dxfId="417" priority="4" operator="lessThan">
      <formula>0</formula>
    </cfRule>
  </conditionalFormatting>
  <conditionalFormatting sqref="Q75">
    <cfRule type="cellIs" dxfId="416" priority="2" operator="greaterThan">
      <formula>1</formula>
    </cfRule>
    <cfRule type="cellIs" dxfId="415" priority="3" operator="lessThan">
      <formula>0.8</formula>
    </cfRule>
  </conditionalFormatting>
  <conditionalFormatting sqref="R75">
    <cfRule type="cellIs" dxfId="414" priority="5" operator="lessThan">
      <formula>0.8</formula>
    </cfRule>
  </conditionalFormatting>
  <dataValidations count="1">
    <dataValidation type="list" allowBlank="1" showInputMessage="1" showErrorMessage="1" sqref="AB9 AA5:AB8 AB66 AA9:AA66 AB11:AB62 AA67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5" sqref="R5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572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573</v>
      </c>
      <c r="C3" s="601" t="str">
        <f>TEXT('0606 4度C'!A2,"yyyy.mm.ddaaaa")</f>
        <v>2026.06.06星期六</v>
      </c>
      <c r="D3" s="602"/>
      <c r="E3" s="39" t="s">
        <v>574</v>
      </c>
      <c r="F3" s="603">
        <f>'0606 4度C'!D1</f>
        <v>165305</v>
      </c>
      <c r="G3" s="604"/>
      <c r="H3" s="39" t="s">
        <v>575</v>
      </c>
      <c r="I3" s="605">
        <f>'0606 4度C'!F1</f>
        <v>5781835.9299999997</v>
      </c>
      <c r="J3" s="606"/>
      <c r="K3" s="40"/>
      <c r="L3" s="41"/>
      <c r="M3" s="42"/>
      <c r="N3" s="42"/>
    </row>
    <row r="4" spans="2:17" ht="28.5" customHeight="1">
      <c r="B4" s="607" t="s">
        <v>576</v>
      </c>
      <c r="C4" s="593" t="s">
        <v>577</v>
      </c>
      <c r="D4" s="594"/>
      <c r="E4" s="610" t="s">
        <v>578</v>
      </c>
      <c r="F4" s="611"/>
      <c r="G4" s="610" t="s">
        <v>579</v>
      </c>
      <c r="H4" s="611"/>
      <c r="I4" s="610" t="s">
        <v>580</v>
      </c>
      <c r="J4" s="611"/>
      <c r="K4" s="591" t="s">
        <v>97</v>
      </c>
      <c r="L4" s="592"/>
      <c r="M4" s="592" t="s">
        <v>581</v>
      </c>
      <c r="N4" s="592"/>
    </row>
    <row r="5" spans="2:17" ht="28.5" customHeight="1">
      <c r="B5" s="608"/>
      <c r="C5" s="593" t="s">
        <v>582</v>
      </c>
      <c r="D5" s="594"/>
      <c r="E5" s="593" t="s">
        <v>583</v>
      </c>
      <c r="F5" s="594"/>
      <c r="G5" s="595" t="s">
        <v>584</v>
      </c>
      <c r="H5" s="596"/>
      <c r="I5" s="597" t="s">
        <v>585</v>
      </c>
      <c r="J5" s="598"/>
      <c r="K5" s="43" t="s">
        <v>586</v>
      </c>
      <c r="L5" s="44" t="s">
        <v>587</v>
      </c>
      <c r="M5" s="43" t="s">
        <v>586</v>
      </c>
      <c r="N5" s="44" t="s">
        <v>588</v>
      </c>
    </row>
    <row r="6" spans="2:17" ht="28.5" customHeight="1">
      <c r="B6" s="608"/>
      <c r="C6" s="593" t="s">
        <v>58</v>
      </c>
      <c r="D6" s="594"/>
      <c r="E6" s="585">
        <f>AVERAGE(D13:M13)</f>
        <v>152.55752396708402</v>
      </c>
      <c r="F6" s="586">
        <f>AVERAGE(D31:O31,D13:J13)</f>
        <v>159.21649336405653</v>
      </c>
      <c r="G6" s="587">
        <f>AVERAGE(D13:J13)</f>
        <v>159.21649336405653</v>
      </c>
      <c r="H6" s="588"/>
      <c r="I6" s="587">
        <f>AVERAGE(K13:M13)</f>
        <v>137.01992870748151</v>
      </c>
      <c r="J6" s="588"/>
      <c r="K6" s="589">
        <f>'0606 4度C'!Y2</f>
        <v>0</v>
      </c>
      <c r="L6" s="574">
        <f>'0606 4度C'!Z2</f>
        <v>0</v>
      </c>
      <c r="M6" s="590">
        <f>'0606 4度C'!AC2</f>
        <v>52</v>
      </c>
      <c r="N6" s="574">
        <f>'0606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146.49897321397765</v>
      </c>
      <c r="F7" s="578">
        <f>AVERAGE(D32:O32,D14:J14)</f>
        <v>153.1347570028764</v>
      </c>
      <c r="G7" s="579">
        <f>AVERAGE(D14:J14)</f>
        <v>153.1347570028764</v>
      </c>
      <c r="H7" s="580"/>
      <c r="I7" s="579">
        <f>AVERAGE(K14:M14)</f>
        <v>131.01547770654722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0.95891386897657216</v>
      </c>
      <c r="F8" s="582">
        <f>AVERAGE(D15:J15,D33:O33)</f>
        <v>0.96009307375274766</v>
      </c>
      <c r="G8" s="583">
        <f>AVERAGE(D15:J15)</f>
        <v>0.96009307375274766</v>
      </c>
      <c r="H8" s="584"/>
      <c r="I8" s="583">
        <f>AVERAGE(K15:M15)</f>
        <v>0.95616239116549562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589</v>
      </c>
      <c r="N9" s="42"/>
      <c r="O9" s="42"/>
      <c r="P9" s="42"/>
      <c r="Q9" s="42"/>
    </row>
    <row r="10" spans="2:17" ht="30" customHeight="1">
      <c r="B10" s="557" t="s">
        <v>590</v>
      </c>
      <c r="C10" s="558"/>
      <c r="D10" s="559" t="s">
        <v>591</v>
      </c>
      <c r="E10" s="560"/>
      <c r="F10" s="560"/>
      <c r="G10" s="560"/>
      <c r="H10" s="560"/>
      <c r="I10" s="560"/>
      <c r="J10" s="561"/>
      <c r="K10" s="562" t="s">
        <v>592</v>
      </c>
      <c r="L10" s="563"/>
      <c r="M10" s="564"/>
      <c r="P10" s="48"/>
      <c r="Q10" s="48"/>
    </row>
    <row r="11" spans="2:17" ht="17.25" customHeight="1">
      <c r="B11" s="565" t="s">
        <v>593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594</v>
      </c>
      <c r="C13" s="55" t="s">
        <v>595</v>
      </c>
      <c r="D13" s="56">
        <f>SUMIFS('0606 4度C'!$K:$K,'0606 4度C'!$A:$A,"新豐6線",'0606 4度C'!$B:$B,"平均")</f>
        <v>130.43478260869566</v>
      </c>
      <c r="E13" s="57">
        <f>SUMIFS('0606 4度C'!$K:$K,'0606 4度C'!$A:$A,"新豐2線",'0606 4度C'!$B:$B,"平均")</f>
        <v>86.956521739130437</v>
      </c>
      <c r="F13" s="58">
        <f>SUMIFS('0606 4度C'!$K:$K,'0606 4度C'!$A:$A,"新豐5線",'0606 4度C'!$B:$B,"平均")</f>
        <v>87.786259541984734</v>
      </c>
      <c r="G13" s="58">
        <f>SUMIFS('0606 4度C'!$K:$K,'0606 4度C'!$A:$A,"新豐7線",'0606 4度C'!$B:$B,"平均")</f>
        <v>125</v>
      </c>
      <c r="H13" s="58">
        <f>SUMIFS('0606 4度C'!$K:$K,'0606 4度C'!$A:$A,"新豐3線",'0606 4度C'!$B:$B,"平均")</f>
        <v>255.81395348837211</v>
      </c>
      <c r="I13" s="58">
        <f>SUMIFS('0606 4度C'!$K:$K,'0606 4度C'!$A:$A,"新豐1線",'0606 4度C'!$B:$B,"平均")</f>
        <v>109.375</v>
      </c>
      <c r="J13" s="59">
        <f>SUMIFS('0606 4度C'!$K:$K,'0606 4度C'!$A:$A,"新豐10線",'0606 4度C'!$B:$B,"平均")</f>
        <v>319.14893617021278</v>
      </c>
      <c r="K13" s="60">
        <f>SUMIFS('0606 4度C'!$K:$K,'0606 4度C'!$A:$A,"新豐8線",'0606 4度C'!$B:$B,"平均")</f>
        <v>139.53488372093022</v>
      </c>
      <c r="L13" s="61">
        <f>SUMIFS('0606 4度C'!$K:$K,'0606 4度C'!$A:$A,"新豐9線",'0606 4度C'!$B:$B,"平均")</f>
        <v>119.62616822429908</v>
      </c>
      <c r="M13" s="59">
        <f>SUMIFS('0606 4度C'!$K:$K,'0606 4度C'!$A:$A,"新豐4線",'0606 4度C'!$B:$B,"平均")</f>
        <v>151.89873417721518</v>
      </c>
    </row>
    <row r="14" spans="2:17" ht="39.6" customHeight="1">
      <c r="B14" s="570"/>
      <c r="C14" s="62" t="s">
        <v>596</v>
      </c>
      <c r="D14" s="63">
        <f>SUMIFS('0606 4度C'!$N:$N,'0606 4度C'!$A:$A,"新豐6線",'0606 4度C'!$B:$B,"平均")</f>
        <v>125.42856693392719</v>
      </c>
      <c r="E14" s="64">
        <f>SUMIFS('0606 4度C'!$N:$N,'0606 4度C'!$A:$A,"新豐2線",'0606 4度C'!$B:$B,"平均")</f>
        <v>82.901654383995222</v>
      </c>
      <c r="F14" s="64">
        <f>SUMIFS('0606 4度C'!$N:$N,'0606 4度C'!$A:$A,"新豐5線",'0606 4度C'!$B:$B,"平均")</f>
        <v>84.077583731215853</v>
      </c>
      <c r="G14" s="64">
        <f>SUMIFS('0606 4度C'!$N:$N,'0606 4度C'!$A:$A,"新豐7線",'0606 4度C'!$B:$B,"平均")</f>
        <v>120.01707314510006</v>
      </c>
      <c r="H14" s="64">
        <f>SUMIFS('0606 4度C'!$N:$N,'0606 4度C'!$A:$A,"新豐3線",'0606 4度C'!$B:$B,"平均")</f>
        <v>245.71267420009116</v>
      </c>
      <c r="I14" s="64">
        <f>SUMIFS('0606 4度C'!$N:$N,'0606 4度C'!$A:$A,"新豐1線",'0606 4度C'!$B:$B,"平均")</f>
        <v>104.94492525835048</v>
      </c>
      <c r="J14" s="65">
        <f>SUMIFS('0606 4度C'!$N:$N,'0606 4度C'!$A:$A,"新豐10線",'0606 4度C'!$B:$B,"平均")</f>
        <v>308.86082136745483</v>
      </c>
      <c r="K14" s="66">
        <f>SUMIFS('0606 4度C'!$N:$N,'0606 4度C'!$A:$A,"新豐8線",'0606 4度C'!$B:$B,"平均")</f>
        <v>133.55066805433029</v>
      </c>
      <c r="L14" s="67">
        <f>SUMIFS('0606 4度C'!$N:$N,'0606 4度C'!$A:$A,"新豐9線",'0606 4度C'!$B:$B,"平均")</f>
        <v>114.31428453376388</v>
      </c>
      <c r="M14" s="65">
        <f>SUMIFS('0606 4度C'!$N:$N,'0606 4度C'!$A:$A,"新豐4線",'0606 4度C'!$B:$B,"平均")</f>
        <v>145.18148053154749</v>
      </c>
    </row>
    <row r="15" spans="2:17" ht="40.15" customHeight="1">
      <c r="B15" s="571"/>
      <c r="C15" s="68" t="s">
        <v>597</v>
      </c>
      <c r="D15" s="69">
        <f t="shared" ref="D15:M15" si="0">D14/D13</f>
        <v>0.96161901316010845</v>
      </c>
      <c r="E15" s="70">
        <f t="shared" si="0"/>
        <v>0.95336902541594504</v>
      </c>
      <c r="F15" s="70">
        <f t="shared" si="0"/>
        <v>0.95775334511211097</v>
      </c>
      <c r="G15" s="70">
        <f t="shared" si="0"/>
        <v>0.96013658516080047</v>
      </c>
      <c r="H15" s="70">
        <f t="shared" si="0"/>
        <v>0.96051318096399263</v>
      </c>
      <c r="I15" s="70">
        <f t="shared" si="0"/>
        <v>0.95949645950491869</v>
      </c>
      <c r="J15" s="71">
        <f t="shared" si="0"/>
        <v>0.96776390695135839</v>
      </c>
      <c r="K15" s="69">
        <f t="shared" si="0"/>
        <v>0.95711312105603374</v>
      </c>
      <c r="L15" s="70">
        <f t="shared" si="0"/>
        <v>0.95559597227443238</v>
      </c>
      <c r="M15" s="71">
        <f t="shared" si="0"/>
        <v>0.95577808016602106</v>
      </c>
    </row>
    <row r="16" spans="2:17" ht="17.25" customHeight="1">
      <c r="B16" s="572" t="s">
        <v>598</v>
      </c>
      <c r="C16" s="72" t="s">
        <v>599</v>
      </c>
      <c r="D16" s="73">
        <f>VLOOKUP("新豐6線",'0606 4度C'!$A:$T,19,0)</f>
        <v>0.70833333333333337</v>
      </c>
      <c r="E16" s="74">
        <f>VLOOKUP("新豐2線",'0606 4度C'!$A:$T,19,0)</f>
        <v>8.3333333333333329E-2</v>
      </c>
      <c r="F16" s="74">
        <f>VLOOKUP("新豐5線",'0606 4度C'!$A:$T,19,0)</f>
        <v>8.3333333333333329E-2</v>
      </c>
      <c r="G16" s="74">
        <f>VLOOKUP("新豐7線",'0606 4度C'!$A:$T,19,0)</f>
        <v>0.20833333333333334</v>
      </c>
      <c r="H16" s="74">
        <f>VLOOKUP("新豐3線",'0606 4度C'!$A:$T,19,0)</f>
        <v>8.3333333333333329E-2</v>
      </c>
      <c r="I16" s="74">
        <f>VLOOKUP("新豐1線",'0606 4度C'!$A:$T,19,0)</f>
        <v>0.20833333333333334</v>
      </c>
      <c r="J16" s="75">
        <f>VLOOKUP("新豐10線",'0606 4度C'!$A:$T,19,0)</f>
        <v>0.20833333333333334</v>
      </c>
      <c r="K16" s="76">
        <f>VLOOKUP("新豐8線",'0606 4度C'!$A:$T,19,0)</f>
        <v>8.3333333333333329E-2</v>
      </c>
      <c r="L16" s="77">
        <f>VLOOKUP("新豐9線",'0606 4度C'!$A:$T,19,0)</f>
        <v>8.3333333333333329E-2</v>
      </c>
      <c r="M16" s="78">
        <f>VLOOKUP("新豐4線",'0606 4度C'!$A:$T,19,0)</f>
        <v>8.3333333333333329E-2</v>
      </c>
    </row>
    <row r="17" spans="2:13" ht="17.25" customHeight="1">
      <c r="B17" s="573"/>
      <c r="C17" s="72" t="s">
        <v>600</v>
      </c>
      <c r="D17" s="76">
        <f>LOOKUP(2,1/(('0606 4度C'!$A:$A="新豐6線")*('0606 4度C'!$T:$T&lt;&gt;"")),'0606 4度C'!$T:$T)</f>
        <v>0.85000000000000009</v>
      </c>
      <c r="E17" s="74">
        <f>LOOKUP(2,1/(('0606 4度C'!$A:$A="新豐2線")*('0606 4度C'!$T:$T&lt;&gt;"")),'0606 4度C'!$T:$T)</f>
        <v>0.64791666666666659</v>
      </c>
      <c r="F17" s="74">
        <f>LOOKUP(2,1/(('0606 4度C'!$A:$A="新豐5線")*('0606 4度C'!$T:$T&lt;&gt;"")),'0606 4度C'!$T:$T)</f>
        <v>0.81666666666666665</v>
      </c>
      <c r="G17" s="74">
        <f>LOOKUP(2,1/(('0606 4度C'!$A:$A="新豐7線")*('0606 4度C'!$T:$T&lt;&gt;"")),'0606 4度C'!$T:$T)</f>
        <v>0.8041666666666667</v>
      </c>
      <c r="H17" s="74">
        <f>LOOKUP(2,1/(('0606 4度C'!$A:$A="新豐3線")*('0606 4度C'!$T:$T&lt;&gt;"")),'0606 4度C'!$T:$T)</f>
        <v>0.36736111111111114</v>
      </c>
      <c r="I17" s="74">
        <f>LOOKUP(2,1/(('0606 4度C'!$A:$A="新豐1線")*('0606 4度C'!$T:$T&lt;&gt;"")),'0606 4度C'!$T:$T)</f>
        <v>0.84513888888888888</v>
      </c>
      <c r="J17" s="75">
        <f>LOOKUP(2,1/(('0606 4度C'!$A:$A="新豐10線")*('0606 4度C'!$T:$T&lt;&gt;"")),'0606 4度C'!$T:$T)</f>
        <v>0.39097222222222217</v>
      </c>
      <c r="K17" s="73">
        <f>LOOKUP(2,1/(('0606 4度C'!$A:$A="新豐8線")*('0606 4度C'!$T:$T&lt;&gt;"")),'0606 4度C'!$T:$T)</f>
        <v>0.5888888888888888</v>
      </c>
      <c r="L17" s="74">
        <f>LOOKUP(2,1/(('0606 4度C'!$A:$A="新豐9線")*('0606 4度C'!$T:$T&lt;&gt;"")),'0606 4度C'!$T:$T)</f>
        <v>0.6055555555555554</v>
      </c>
      <c r="M17" s="75">
        <f>LOOKUP(2,1/(('0606 4度C'!$A:$A="新豐4線")*('0606 4度C'!$T:$T&lt;&gt;"")),'0606 4度C'!$T:$T)</f>
        <v>0.52916666666666667</v>
      </c>
    </row>
    <row r="18" spans="2:13" ht="17.25" customHeight="1">
      <c r="B18" s="551" t="s">
        <v>116</v>
      </c>
      <c r="C18" s="79" t="s">
        <v>601</v>
      </c>
      <c r="D18" s="80">
        <f>SUMIFS('0606 4度C'!$Y:$Y,'0606 4度C'!$A:$A,"新豐6線",'0606 4度C'!$B:$B,"平均")</f>
        <v>0</v>
      </c>
      <c r="E18" s="81">
        <f>SUMIFS('0606 4度C'!$Y:$Y,'0606 4度C'!$A:$A,"新豐2線",'0606 4度C'!$B:$B,"平均")</f>
        <v>0</v>
      </c>
      <c r="F18" s="81">
        <f>SUMIFS('0606 4度C'!$Y:$Y,'0606 4度C'!$A:$A,"新豐5線",'0606 4度C'!$B:$B,"平均")</f>
        <v>0</v>
      </c>
      <c r="G18" s="81">
        <f>SUMIFS('0606 4度C'!$Y:$Y,'0606 4度C'!$A:$A,"新豐7線",'0606 4度C'!$B:$B,"平均")</f>
        <v>0</v>
      </c>
      <c r="H18" s="81">
        <f>SUMIFS('0606 4度C'!$Y:$Y,'0606 4度C'!$A:$A,"新豐3線",'0606 4度C'!$B:$B,"平均")</f>
        <v>0</v>
      </c>
      <c r="I18" s="81">
        <f>SUMIFS('0606 4度C'!$Y:$Y,'0606 4度C'!$A:$A,"新豐1線",'0606 4度C'!$B:$B,"平均")</f>
        <v>0</v>
      </c>
      <c r="J18" s="82">
        <f>SUMIFS('0606 4度C'!$Y:$Y,'0606 4度C'!$A:$A,"新豐10線",'0606 4度C'!$B:$B,"平均")</f>
        <v>0</v>
      </c>
      <c r="K18" s="83">
        <f>SUMIFS('0606 4度C'!$Y:$Y,'0606 4度C'!$A:$A,"新豐8線",'0606 4度C'!$B:$B,"平均")</f>
        <v>0</v>
      </c>
      <c r="L18" s="81">
        <f>SUMIFS('0606 4度C'!$Y:$Y,'0606 4度C'!$A:$A,"新豐9線",'0606 4度C'!$B:$B,"平均")</f>
        <v>0</v>
      </c>
      <c r="M18" s="82">
        <f>SUMIFS('0606 4度C'!$Y:$Y,'0606 4度C'!$A:$A,"新豐4線",'0606 4度C'!$B:$B,"平均")</f>
        <v>0</v>
      </c>
    </row>
    <row r="19" spans="2:13" ht="17.25" customHeight="1">
      <c r="B19" s="552"/>
      <c r="C19" s="79" t="s">
        <v>602</v>
      </c>
      <c r="D19" s="80">
        <f>SUMIFS('0606 4度C'!$Z:$Z,'0606 4度C'!$A:$A,"新豐6線",'0606 4度C'!$B:$B,"平均")</f>
        <v>0</v>
      </c>
      <c r="E19" s="81">
        <f>SUMIFS('0606 4度C'!$Z:$Z,'0606 4度C'!$A:$A,"新豐2線",'0606 4度C'!$B:$B,"平均")</f>
        <v>0</v>
      </c>
      <c r="F19" s="81">
        <f>SUMIFS('0606 4度C'!$Z:$Z,'0606 4度C'!$A:$A,"新豐5線",'0606 4度C'!$B:$B,"平均")</f>
        <v>0</v>
      </c>
      <c r="G19" s="81">
        <f>SUMIFS('0606 4度C'!$Z:$Z,'0606 4度C'!$A:$A,"新豐7線",'0606 4度C'!$B:$B,"平均")</f>
        <v>0</v>
      </c>
      <c r="H19" s="81">
        <f>SUMIFS('0606 4度C'!$Z:$Z,'0606 4度C'!$A:$A,"新豐3線",'0606 4度C'!$B:$B,"平均")</f>
        <v>0</v>
      </c>
      <c r="I19" s="81">
        <f>SUMIFS('0606 4度C'!$Z:$Z,'0606 4度C'!$A:$A,"新豐1線",'0606 4度C'!$B:$B,"平均")</f>
        <v>0</v>
      </c>
      <c r="J19" s="82">
        <f>SUMIFS('0606 4度C'!$Z:$Z,'0606 4度C'!$A:$A,"新豐10線",'0606 4度C'!$B:$B,"平均")</f>
        <v>0</v>
      </c>
      <c r="K19" s="83">
        <f>SUMIFS('0606 4度C'!$Z:$Z,'0606 4度C'!$A:$A,"新豐8線",'0606 4度C'!$B:$B,"平均")</f>
        <v>0</v>
      </c>
      <c r="L19" s="81">
        <f>SUMIFS('0606 4度C'!$Z:$Z,'0606 4度C'!$A:$A,"新豐9線",'0606 4度C'!$B:$B,"平均")</f>
        <v>0</v>
      </c>
      <c r="M19" s="82">
        <f>SUMIFS('0606 4度C'!$Z:$Z,'0606 4度C'!$A:$A,"新豐4線",'0606 4度C'!$B:$B,"平均")</f>
        <v>0</v>
      </c>
    </row>
    <row r="20" spans="2:13" ht="17.25" customHeight="1">
      <c r="B20" s="551" t="s">
        <v>603</v>
      </c>
      <c r="C20" s="79" t="s">
        <v>601</v>
      </c>
      <c r="D20" s="80">
        <f>SUMIFS('0606 4度C'!$AC:$AC,'0606 4度C'!$A:$A,"新豐6線",'0606 4度C'!$B:$B,"平均")</f>
        <v>3</v>
      </c>
      <c r="E20" s="81">
        <f>SUMIFS('0606 4度C'!$AC:$AC,'0606 4度C'!$A:$A,"新豐2線",'0606 4度C'!$B:$B,"平均")</f>
        <v>4</v>
      </c>
      <c r="F20" s="81">
        <f>SUMIFS('0606 4度C'!$AC:$AC,'0606 4度C'!$A:$A,"新豐5線",'0606 4度C'!$B:$B,"平均")</f>
        <v>7</v>
      </c>
      <c r="G20" s="81">
        <f>SUMIFS('0606 4度C'!$AC:$AC,'0606 4度C'!$A:$A,"新豐7線",'0606 4度C'!$B:$B,"平均")</f>
        <v>6</v>
      </c>
      <c r="H20" s="81">
        <f>SUMIFS('0606 4度C'!$AC:$AC,'0606 4度C'!$A:$A,"新豐3線",'0606 4度C'!$B:$B,"平均")</f>
        <v>4</v>
      </c>
      <c r="I20" s="81">
        <f>SUMIFS('0606 4度C'!$AC:$AC,'0606 4度C'!$A:$A,"新豐1線",'0606 4度C'!$B:$B,"平均")</f>
        <v>7</v>
      </c>
      <c r="J20" s="82">
        <f>SUMIFS('0606 4度C'!$AC:$AC,'0606 4度C'!$A:$A,"新豐10線",'0606 4度C'!$B:$B,"平均")</f>
        <v>5</v>
      </c>
      <c r="K20" s="83">
        <f>SUMIFS('0606 4度C'!$AC:$AC,'0606 4度C'!$A:$A,"新豐8線",'0606 4度C'!$B:$B,"平均")</f>
        <v>5</v>
      </c>
      <c r="L20" s="81">
        <f>SUMIFS('0606 4度C'!$AC:$AC,'0606 4度C'!$A:$A,"新豐9線",'0606 4度C'!$B:$B,"平均")</f>
        <v>6</v>
      </c>
      <c r="M20" s="82">
        <f>SUMIFS('0606 4度C'!$AC:$AC,'0606 4度C'!$A:$A,"新豐4線",'0606 4度C'!$B:$B,"平均")</f>
        <v>5</v>
      </c>
    </row>
    <row r="21" spans="2:13" ht="17.25" customHeight="1">
      <c r="B21" s="552"/>
      <c r="C21" s="79" t="s">
        <v>604</v>
      </c>
      <c r="D21" s="80">
        <f>SUMIFS('0606 4度C'!$AD:$AD,'0606 4度C'!$A:$A,"新豐6線",'0606 4度C'!$B:$B,"平均")</f>
        <v>0</v>
      </c>
      <c r="E21" s="81">
        <f>SUMIFS('0606 4度C'!$AD:$AD,'0606 4度C'!$A:$A,"新豐2線",'0606 4度C'!$B:$B,"平均")</f>
        <v>0</v>
      </c>
      <c r="F21" s="81">
        <f>SUMIFS('0606 4度C'!$AD:$AD,'0606 4度C'!$A:$A,"新豐5線",'0606 4度C'!$B:$B,"平均")</f>
        <v>0</v>
      </c>
      <c r="G21" s="81">
        <f>SUMIFS('0606 4度C'!$AD:$AD,'0606 4度C'!$A:$A,"新豐7線",'0606 4度C'!$B:$B,"平均")</f>
        <v>0</v>
      </c>
      <c r="H21" s="81">
        <f>SUMIFS('0606 4度C'!$AD:$AD,'0606 4度C'!$A:$A,"新豐3線",'0606 4度C'!$B:$B,"平均")</f>
        <v>0</v>
      </c>
      <c r="I21" s="81">
        <f>SUMIFS('0606 4度C'!$AD:$AD,'0606 4度C'!$A:$A,"新豐1線",'0606 4度C'!$B:$B,"平均")</f>
        <v>0</v>
      </c>
      <c r="J21" s="82">
        <f>SUMIFS('0606 4度C'!$AD:$AD,'0606 4度C'!$A:$A,"新豐10線",'0606 4度C'!$B:$B,"平均")</f>
        <v>0</v>
      </c>
      <c r="K21" s="83">
        <f>SUMIFS('0606 4度C'!$AD:$AD,'0606 4度C'!$A:$A,"新豐8線",'0606 4度C'!$B:$B,"平均")</f>
        <v>0</v>
      </c>
      <c r="L21" s="81">
        <f>SUMIFS('0606 4度C'!$AD:$AD,'0606 4度C'!$A:$A,"新豐9線",'0606 4度C'!$B:$B,"平均")</f>
        <v>0</v>
      </c>
      <c r="M21" s="82">
        <f>SUMIFS('0606 4度C'!$AD:$AD,'0606 4度C'!$A:$A,"新豐4線",'0606 4度C'!$B:$B,"平均")</f>
        <v>0</v>
      </c>
    </row>
    <row r="22" spans="2:13" ht="17.25" customHeight="1">
      <c r="B22" s="553" t="s">
        <v>605</v>
      </c>
      <c r="C22" s="554"/>
      <c r="D22" s="84">
        <f>SUMIFS('0606 4度C'!$I:$I,'0606 4度C'!$A:$A,"新豐6線",'0606 4度C'!$B:$B,"平均")</f>
        <v>15.333333333333334</v>
      </c>
      <c r="E22" s="85">
        <f>SUMIFS('0606 4度C'!$I:$I,'0606 4度C'!$A:$A,"新豐2線",'0606 4度C'!$B:$B,"平均")</f>
        <v>17.25</v>
      </c>
      <c r="F22" s="85">
        <f>SUMIFS('0606 4度C'!$I:$I,'0606 4度C'!$A:$A,"新豐5線",'0606 4度C'!$B:$B,"平均")</f>
        <v>18.714285714285715</v>
      </c>
      <c r="G22" s="85">
        <f>SUMIFS('0606 4度C'!$I:$I,'0606 4度C'!$A:$A,"新豐7線",'0606 4度C'!$B:$B,"平均")</f>
        <v>15.333333333333334</v>
      </c>
      <c r="H22" s="85">
        <f>SUMIFS('0606 4度C'!$I:$I,'0606 4度C'!$A:$A,"新豐3線",'0606 4度C'!$B:$B,"平均")</f>
        <v>10.75</v>
      </c>
      <c r="I22" s="85">
        <f>SUMIFS('0606 4度C'!$I:$I,'0606 4度C'!$A:$A,"新豐1線",'0606 4度C'!$B:$B,"平均")</f>
        <v>18.285714285714285</v>
      </c>
      <c r="J22" s="86">
        <f>SUMIFS('0606 4度C'!$I:$I,'0606 4度C'!$A:$A,"新豐10線",'0606 4度C'!$B:$B,"平均")</f>
        <v>9.4</v>
      </c>
      <c r="K22" s="84">
        <f>SUMIFS('0606 4度C'!$I:$I,'0606 4度C'!$A:$A,"新豐8線",'0606 4度C'!$B:$B,"平均")</f>
        <v>17.2</v>
      </c>
      <c r="L22" s="85">
        <f>SUMIFS('0606 4度C'!$I:$I,'0606 4度C'!$A:$A,"新豐9線",'0606 4度C'!$B:$B,"平均")</f>
        <v>17.833333333333332</v>
      </c>
      <c r="M22" s="86">
        <f>SUMIFS('0606 4度C'!$I:$I,'0606 4度C'!$A:$A,"新豐4線",'0606 4度C'!$B:$B,"平均")</f>
        <v>15.8</v>
      </c>
    </row>
    <row r="23" spans="2:13" ht="17.25" customHeight="1">
      <c r="B23" s="553" t="s">
        <v>606</v>
      </c>
      <c r="C23" s="554"/>
      <c r="D23" s="87" t="s">
        <v>71</v>
      </c>
      <c r="E23" s="88" t="s">
        <v>72</v>
      </c>
      <c r="F23" s="88" t="s">
        <v>607</v>
      </c>
      <c r="G23" s="88" t="s">
        <v>607</v>
      </c>
      <c r="H23" s="88" t="s">
        <v>73</v>
      </c>
      <c r="I23" s="88" t="s">
        <v>71</v>
      </c>
      <c r="J23" s="89" t="s">
        <v>73</v>
      </c>
      <c r="K23" s="87" t="s">
        <v>608</v>
      </c>
      <c r="L23" s="88" t="s">
        <v>608</v>
      </c>
      <c r="M23" s="89" t="s">
        <v>608</v>
      </c>
    </row>
    <row r="24" spans="2:13" ht="17.25" customHeight="1">
      <c r="B24" s="553" t="s">
        <v>609</v>
      </c>
      <c r="C24" s="554"/>
      <c r="D24" s="87"/>
      <c r="E24" s="88"/>
      <c r="F24" s="88" t="s">
        <v>610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611</v>
      </c>
      <c r="C25" s="556"/>
      <c r="D25" s="90"/>
      <c r="E25" s="91" t="s">
        <v>612</v>
      </c>
      <c r="F25" s="549" t="s">
        <v>613</v>
      </c>
      <c r="G25" s="550"/>
      <c r="H25" s="91" t="s">
        <v>614</v>
      </c>
      <c r="I25" s="91" t="s">
        <v>615</v>
      </c>
      <c r="J25" s="92" t="s">
        <v>614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1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7"/>
  <sheetViews>
    <sheetView zoomScale="80" zoomScaleNormal="80" workbookViewId="0">
      <pane ySplit="4" topLeftCell="A38" activePane="bottomLeft" state="frozen"/>
      <selection activeCell="A9" sqref="A9:A13"/>
      <selection pane="bottomLeft" activeCell="A9" sqref="A9:A1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616</v>
      </c>
      <c r="B1" s="1"/>
      <c r="C1" s="2" t="s">
        <v>617</v>
      </c>
      <c r="D1" s="3">
        <f>SUM(F5:F66)</f>
        <v>165305</v>
      </c>
      <c r="E1" s="176" t="s">
        <v>618</v>
      </c>
      <c r="F1" s="1">
        <f>SUM(G5:G66)</f>
        <v>5781835.9299999997</v>
      </c>
      <c r="G1" s="1" t="s">
        <v>619</v>
      </c>
      <c r="H1" s="4">
        <f>L8+L13+L46+L54+L21+L60+L34+L41+L28+L66</f>
        <v>155.90000000000003</v>
      </c>
      <c r="I1" s="663" t="s">
        <v>620</v>
      </c>
      <c r="J1" s="663"/>
      <c r="K1" s="663"/>
      <c r="L1" s="663" t="s">
        <v>621</v>
      </c>
      <c r="M1" s="663"/>
      <c r="N1" s="663"/>
      <c r="O1" s="663" t="s">
        <v>622</v>
      </c>
      <c r="P1" s="663"/>
      <c r="Q1" s="663"/>
      <c r="R1" s="663"/>
      <c r="S1" s="663" t="s">
        <v>623</v>
      </c>
      <c r="T1" s="663"/>
      <c r="U1" s="663"/>
      <c r="V1" s="663"/>
      <c r="W1" s="663"/>
      <c r="X1" s="663"/>
      <c r="Y1" s="5" t="s">
        <v>624</v>
      </c>
      <c r="Z1" s="6" t="s">
        <v>625</v>
      </c>
      <c r="AA1" s="664" t="s">
        <v>626</v>
      </c>
      <c r="AB1" s="664"/>
      <c r="AC1" s="188" t="s">
        <v>624</v>
      </c>
      <c r="AD1" s="6" t="s">
        <v>627</v>
      </c>
      <c r="AE1" s="663" t="s">
        <v>628</v>
      </c>
      <c r="AF1" s="665"/>
      <c r="AG1" s="665"/>
    </row>
    <row r="2" spans="1:33" ht="26.25" customHeight="1">
      <c r="A2" s="27">
        <v>46179</v>
      </c>
      <c r="B2" s="28" t="s">
        <v>629</v>
      </c>
      <c r="C2" s="2" t="s">
        <v>630</v>
      </c>
      <c r="D2" s="8">
        <f>AVERAGE(N8,N13,N46,N54,N21,N60,N28,N34,N41,N66)</f>
        <v>146.49897321397765</v>
      </c>
      <c r="E2" s="9" t="s">
        <v>0</v>
      </c>
      <c r="F2" s="10">
        <f>F1/D1</f>
        <v>34.97677583860137</v>
      </c>
      <c r="G2" s="1" t="s">
        <v>631</v>
      </c>
      <c r="H2" s="185">
        <f>COUNT(H5:H66)</f>
        <v>3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SUM(Y8+Y13+Y21+Y28+Y34+Y41+Y46+Y54+Y60+Y66)</f>
        <v>0</v>
      </c>
      <c r="Z2" s="11">
        <f>SUM(Z8+Z13+Z21+Z28+Z34+Z41+Z46+Z54+Z60+Z66)</f>
        <v>0</v>
      </c>
      <c r="AA2" s="664"/>
      <c r="AB2" s="664"/>
      <c r="AC2" s="11">
        <v>52</v>
      </c>
      <c r="AD2" s="11">
        <f>SUM(AD8+AD13+AD21+AD28+AD34+AD41+AD46+AD54+AD60+AD66)</f>
        <v>0</v>
      </c>
      <c r="AE2" s="665"/>
      <c r="AF2" s="665"/>
      <c r="AG2" s="665"/>
    </row>
    <row r="3" spans="1:33" ht="40.5" customHeight="1">
      <c r="A3" s="617" t="s">
        <v>632</v>
      </c>
      <c r="B3" s="617" t="s">
        <v>633</v>
      </c>
      <c r="C3" s="617" t="s">
        <v>634</v>
      </c>
      <c r="D3" s="617"/>
      <c r="E3" s="661" t="s">
        <v>635</v>
      </c>
      <c r="F3" s="617" t="s">
        <v>636</v>
      </c>
      <c r="G3" s="661" t="s">
        <v>637</v>
      </c>
      <c r="H3" s="654" t="s">
        <v>638</v>
      </c>
      <c r="I3" s="652" t="s">
        <v>639</v>
      </c>
      <c r="J3" s="649" t="s">
        <v>640</v>
      </c>
      <c r="K3" s="659" t="s">
        <v>630</v>
      </c>
      <c r="L3" s="652" t="s">
        <v>639</v>
      </c>
      <c r="M3" s="649" t="s">
        <v>640</v>
      </c>
      <c r="N3" s="659" t="s">
        <v>630</v>
      </c>
      <c r="O3" s="652" t="s">
        <v>639</v>
      </c>
      <c r="P3" s="659" t="s">
        <v>630</v>
      </c>
      <c r="Q3" s="650" t="s">
        <v>641</v>
      </c>
      <c r="R3" s="630" t="s">
        <v>642</v>
      </c>
      <c r="S3" s="660" t="s">
        <v>1</v>
      </c>
      <c r="T3" s="660"/>
      <c r="U3" s="654" t="s">
        <v>2</v>
      </c>
      <c r="V3" s="654" t="s">
        <v>643</v>
      </c>
      <c r="W3" s="617" t="s">
        <v>644</v>
      </c>
      <c r="X3" s="617"/>
      <c r="Y3" s="655" t="s">
        <v>645</v>
      </c>
      <c r="Z3" s="614"/>
      <c r="AA3" s="656" t="s">
        <v>646</v>
      </c>
      <c r="AB3" s="657"/>
      <c r="AC3" s="655" t="s">
        <v>647</v>
      </c>
      <c r="AD3" s="614"/>
      <c r="AE3" s="649" t="s">
        <v>640</v>
      </c>
      <c r="AF3" s="650" t="s">
        <v>648</v>
      </c>
      <c r="AG3" s="630" t="s">
        <v>642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184" t="s">
        <v>3</v>
      </c>
      <c r="T4" s="184" t="s">
        <v>4</v>
      </c>
      <c r="U4" s="654"/>
      <c r="V4" s="654"/>
      <c r="W4" s="176" t="s">
        <v>649</v>
      </c>
      <c r="X4" s="176" t="s">
        <v>650</v>
      </c>
      <c r="Y4" s="174" t="s">
        <v>651</v>
      </c>
      <c r="Z4" s="174" t="s">
        <v>652</v>
      </c>
      <c r="AA4" s="658"/>
      <c r="AB4" s="657"/>
      <c r="AC4" s="174" t="s">
        <v>653</v>
      </c>
      <c r="AD4" s="174" t="s">
        <v>654</v>
      </c>
      <c r="AE4" s="649"/>
      <c r="AF4" s="650"/>
      <c r="AG4" s="630"/>
    </row>
    <row r="5" spans="1:33">
      <c r="A5" s="651" t="s">
        <v>655</v>
      </c>
      <c r="B5" s="29" t="s">
        <v>15</v>
      </c>
      <c r="C5" s="653" t="s">
        <v>17</v>
      </c>
      <c r="D5" s="653"/>
      <c r="E5" s="29">
        <v>50.67</v>
      </c>
      <c r="F5" s="184">
        <v>1423</v>
      </c>
      <c r="G5" s="176">
        <f t="shared" ref="G5:G7" si="0">E5*F5</f>
        <v>72103.41</v>
      </c>
      <c r="H5" s="33" t="s">
        <v>57</v>
      </c>
      <c r="I5" s="182">
        <v>15</v>
      </c>
      <c r="J5" s="31">
        <v>2000</v>
      </c>
      <c r="K5" s="12">
        <f t="shared" ref="K5:K66" si="1">J5/I5</f>
        <v>133.33333333333334</v>
      </c>
      <c r="L5" s="182">
        <v>15</v>
      </c>
      <c r="M5" s="13">
        <f t="shared" ref="M5:M7" si="2">F5/V5*60</f>
        <v>1940.4545454545455</v>
      </c>
      <c r="N5" s="12">
        <f t="shared" ref="N5:N66" si="3">M5/L5</f>
        <v>129.36363636363637</v>
      </c>
      <c r="O5" s="14">
        <f t="shared" ref="O5:O66" si="4">L5-I5</f>
        <v>0</v>
      </c>
      <c r="P5" s="15">
        <f t="shared" ref="P5:P66" si="5">N5-K5</f>
        <v>-3.9696969696969688</v>
      </c>
      <c r="Q5" s="175">
        <f t="shared" ref="Q5:Q66" si="6">N5/K5</f>
        <v>0.97022727272727272</v>
      </c>
      <c r="R5" s="615">
        <f>Q8</f>
        <v>0.96161901316010845</v>
      </c>
      <c r="S5" s="34">
        <v>0.70833333333333337</v>
      </c>
      <c r="T5" s="34">
        <v>0.73888888888888893</v>
      </c>
      <c r="U5" s="176"/>
      <c r="V5" s="183">
        <f t="shared" ref="V5:V7" si="7">(T5-S5)*24*60</f>
        <v>44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3" si="8">M5-J5</f>
        <v>-59.545454545454504</v>
      </c>
      <c r="AF5" s="175">
        <f t="shared" ref="AF5:AF66" si="9">M5/J5</f>
        <v>0.97022727272727272</v>
      </c>
      <c r="AG5" s="615">
        <f>AF8</f>
        <v>0.96161901316010845</v>
      </c>
    </row>
    <row r="6" spans="1:33">
      <c r="A6" s="652" t="s">
        <v>656</v>
      </c>
      <c r="B6" s="29" t="s">
        <v>15</v>
      </c>
      <c r="C6" s="653" t="s">
        <v>26</v>
      </c>
      <c r="D6" s="653"/>
      <c r="E6" s="29">
        <v>50.92</v>
      </c>
      <c r="F6" s="184">
        <v>2318</v>
      </c>
      <c r="G6" s="176">
        <f t="shared" si="0"/>
        <v>118032.56</v>
      </c>
      <c r="H6" s="33" t="s">
        <v>57</v>
      </c>
      <c r="I6" s="182">
        <v>15</v>
      </c>
      <c r="J6" s="31">
        <v>2000</v>
      </c>
      <c r="K6" s="12">
        <f t="shared" si="1"/>
        <v>133.33333333333334</v>
      </c>
      <c r="L6" s="182">
        <v>15</v>
      </c>
      <c r="M6" s="13">
        <f t="shared" si="2"/>
        <v>1905.2054794520534</v>
      </c>
      <c r="N6" s="12">
        <f t="shared" si="3"/>
        <v>127.01369863013689</v>
      </c>
      <c r="O6" s="14">
        <f t="shared" si="4"/>
        <v>0</v>
      </c>
      <c r="P6" s="15">
        <f t="shared" si="5"/>
        <v>-6.3196347031964564</v>
      </c>
      <c r="Q6" s="175">
        <f t="shared" si="6"/>
        <v>0.9526027397260266</v>
      </c>
      <c r="R6" s="615"/>
      <c r="S6" s="34">
        <v>0.74236111111111114</v>
      </c>
      <c r="T6" s="34">
        <v>0.79305555555555562</v>
      </c>
      <c r="U6" s="176">
        <f t="shared" ref="U6:U7" si="10">IF(S6=TIME(17,0,0),"",(S6-T5)*24*60)</f>
        <v>4.9999999999999822</v>
      </c>
      <c r="V6" s="183">
        <f t="shared" si="7"/>
        <v>73.000000000000057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-94.794520547946604</v>
      </c>
      <c r="AF6" s="175">
        <f t="shared" si="9"/>
        <v>0.95260273972602671</v>
      </c>
      <c r="AG6" s="615"/>
    </row>
    <row r="7" spans="1:33">
      <c r="A7" s="652" t="s">
        <v>656</v>
      </c>
      <c r="B7" s="29" t="s">
        <v>15</v>
      </c>
      <c r="C7" s="644" t="s">
        <v>31</v>
      </c>
      <c r="D7" s="645"/>
      <c r="E7" s="29">
        <v>50.98</v>
      </c>
      <c r="F7" s="184">
        <v>2373</v>
      </c>
      <c r="G7" s="176">
        <f t="shared" si="0"/>
        <v>120975.54</v>
      </c>
      <c r="H7" s="33" t="s">
        <v>57</v>
      </c>
      <c r="I7" s="182">
        <v>16</v>
      </c>
      <c r="J7" s="31">
        <v>2000</v>
      </c>
      <c r="K7" s="12">
        <f t="shared" si="1"/>
        <v>125</v>
      </c>
      <c r="L7" s="182">
        <v>16</v>
      </c>
      <c r="M7" s="13">
        <f t="shared" si="2"/>
        <v>1924.0540540540526</v>
      </c>
      <c r="N7" s="12">
        <f t="shared" si="3"/>
        <v>120.25337837837829</v>
      </c>
      <c r="O7" s="14">
        <f t="shared" si="4"/>
        <v>0</v>
      </c>
      <c r="P7" s="15">
        <f t="shared" si="5"/>
        <v>-4.7466216216217134</v>
      </c>
      <c r="Q7" s="175">
        <f t="shared" si="6"/>
        <v>0.96202702702702625</v>
      </c>
      <c r="R7" s="615"/>
      <c r="S7" s="34">
        <v>0.79861111111111116</v>
      </c>
      <c r="T7" s="34">
        <v>0.85000000000000009</v>
      </c>
      <c r="U7" s="176">
        <f t="shared" si="10"/>
        <v>7.9999999999999716</v>
      </c>
      <c r="V7" s="183">
        <f t="shared" si="7"/>
        <v>74.000000000000057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-75.945945945947415</v>
      </c>
      <c r="AF7" s="175">
        <f t="shared" si="9"/>
        <v>0.96202702702702625</v>
      </c>
      <c r="AG7" s="615"/>
    </row>
    <row r="8" spans="1:33">
      <c r="A8" s="652" t="s">
        <v>656</v>
      </c>
      <c r="B8" s="29" t="s">
        <v>657</v>
      </c>
      <c r="C8" s="618"/>
      <c r="D8" s="618"/>
      <c r="E8" s="177"/>
      <c r="F8" s="30"/>
      <c r="G8" s="12"/>
      <c r="H8" s="184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1923.2380263202169</v>
      </c>
      <c r="N8" s="12">
        <f t="shared" si="3"/>
        <v>125.42856693392719</v>
      </c>
      <c r="O8" s="14">
        <f t="shared" si="4"/>
        <v>0</v>
      </c>
      <c r="P8" s="15">
        <f t="shared" si="5"/>
        <v>-5.0062156747684696</v>
      </c>
      <c r="Q8" s="175">
        <f t="shared" si="6"/>
        <v>0.96161901316010845</v>
      </c>
      <c r="R8" s="615"/>
      <c r="S8" s="34"/>
      <c r="T8" s="34"/>
      <c r="U8" s="176"/>
      <c r="V8" s="183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-76.761973679783068</v>
      </c>
      <c r="AF8" s="175">
        <f t="shared" si="9"/>
        <v>0.96161901316010845</v>
      </c>
      <c r="AG8" s="615"/>
    </row>
    <row r="9" spans="1:33" ht="15.75" customHeight="1">
      <c r="A9" s="648" t="s">
        <v>658</v>
      </c>
      <c r="B9" s="29" t="s">
        <v>19</v>
      </c>
      <c r="C9" s="644" t="s">
        <v>20</v>
      </c>
      <c r="D9" s="645"/>
      <c r="E9" s="29">
        <v>39.619999999999997</v>
      </c>
      <c r="F9" s="184">
        <v>4860</v>
      </c>
      <c r="G9" s="176">
        <f t="shared" ref="G9:G12" si="11">E9*F9</f>
        <v>192553.19999999998</v>
      </c>
      <c r="H9" s="33" t="s">
        <v>57</v>
      </c>
      <c r="I9" s="182">
        <v>19</v>
      </c>
      <c r="J9" s="31">
        <v>1500</v>
      </c>
      <c r="K9" s="12">
        <f t="shared" si="1"/>
        <v>78.94736842105263</v>
      </c>
      <c r="L9" s="182">
        <v>19</v>
      </c>
      <c r="M9" s="13">
        <f t="shared" ref="M9:M12" si="12">F9/V9*60</f>
        <v>1429.4117647058824</v>
      </c>
      <c r="N9" s="12">
        <f t="shared" si="3"/>
        <v>75.232198142414859</v>
      </c>
      <c r="O9" s="14">
        <f t="shared" si="4"/>
        <v>0</v>
      </c>
      <c r="P9" s="15">
        <f t="shared" si="5"/>
        <v>-3.7151702786377712</v>
      </c>
      <c r="Q9" s="175">
        <f t="shared" si="6"/>
        <v>0.95294117647058818</v>
      </c>
      <c r="R9" s="615">
        <f>Q13</f>
        <v>0.95336902541594504</v>
      </c>
      <c r="S9" s="34">
        <v>8.3333333333333329E-2</v>
      </c>
      <c r="T9" s="34">
        <v>0.22499999999999998</v>
      </c>
      <c r="U9" s="176"/>
      <c r="V9" s="183">
        <f t="shared" ref="V9:V12" si="13">(T9-S9)*24*60</f>
        <v>204</v>
      </c>
      <c r="W9" s="16">
        <f>T9</f>
        <v>0.22499999999999998</v>
      </c>
      <c r="X9" s="16">
        <f>S10</f>
        <v>0.24374999999999999</v>
      </c>
      <c r="Y9" s="16"/>
      <c r="Z9" s="16"/>
      <c r="AA9" s="617"/>
      <c r="AB9" s="617"/>
      <c r="AC9" s="35">
        <v>4</v>
      </c>
      <c r="AD9" s="18"/>
      <c r="AE9" s="14">
        <f t="shared" si="8"/>
        <v>-70.588235294117567</v>
      </c>
      <c r="AF9" s="175">
        <f t="shared" si="9"/>
        <v>0.95294117647058829</v>
      </c>
      <c r="AG9" s="615">
        <f>AF13</f>
        <v>0.95336902541594504</v>
      </c>
    </row>
    <row r="10" spans="1:33" ht="15.75" customHeight="1">
      <c r="A10" s="648" t="s">
        <v>7</v>
      </c>
      <c r="B10" s="29" t="s">
        <v>19</v>
      </c>
      <c r="C10" s="644" t="s">
        <v>83</v>
      </c>
      <c r="D10" s="645"/>
      <c r="E10" s="29">
        <v>39.46</v>
      </c>
      <c r="F10" s="184">
        <v>5379</v>
      </c>
      <c r="G10" s="176">
        <f t="shared" si="11"/>
        <v>212255.34</v>
      </c>
      <c r="H10" s="33" t="s">
        <v>57</v>
      </c>
      <c r="I10" s="182">
        <v>16</v>
      </c>
      <c r="J10" s="31">
        <v>1500</v>
      </c>
      <c r="K10" s="12">
        <f t="shared" si="1"/>
        <v>93.75</v>
      </c>
      <c r="L10" s="182">
        <v>16</v>
      </c>
      <c r="M10" s="13">
        <f t="shared" si="12"/>
        <v>1428.0530973451323</v>
      </c>
      <c r="N10" s="12">
        <f t="shared" si="3"/>
        <v>89.253318584070769</v>
      </c>
      <c r="O10" s="14">
        <f t="shared" si="4"/>
        <v>0</v>
      </c>
      <c r="P10" s="15">
        <f t="shared" si="5"/>
        <v>-4.4966814159292312</v>
      </c>
      <c r="Q10" s="175">
        <f t="shared" si="6"/>
        <v>0.9520353982300882</v>
      </c>
      <c r="R10" s="615"/>
      <c r="S10" s="34">
        <v>0.24374999999999999</v>
      </c>
      <c r="T10" s="34">
        <v>0.40069444444444446</v>
      </c>
      <c r="U10" s="176">
        <f t="shared" ref="U10:U12" si="14">IF(S10=TIME(17,0,0),"",(S10-T9)*24*60)</f>
        <v>27.000000000000025</v>
      </c>
      <c r="V10" s="183">
        <f t="shared" si="13"/>
        <v>226.00000000000006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-71.946902654867699</v>
      </c>
      <c r="AF10" s="175">
        <f t="shared" si="9"/>
        <v>0.9520353982300882</v>
      </c>
      <c r="AG10" s="615"/>
    </row>
    <row r="11" spans="1:33" ht="15.75" customHeight="1">
      <c r="A11" s="648" t="s">
        <v>7</v>
      </c>
      <c r="B11" s="29" t="s">
        <v>19</v>
      </c>
      <c r="C11" s="644" t="s">
        <v>21</v>
      </c>
      <c r="D11" s="645"/>
      <c r="E11" s="29">
        <v>39.799999999999997</v>
      </c>
      <c r="F11" s="184">
        <v>3600</v>
      </c>
      <c r="G11" s="176">
        <f t="shared" si="11"/>
        <v>143280</v>
      </c>
      <c r="H11" s="33">
        <v>2</v>
      </c>
      <c r="I11" s="182">
        <v>17</v>
      </c>
      <c r="J11" s="31">
        <v>1500</v>
      </c>
      <c r="K11" s="12">
        <f t="shared" si="1"/>
        <v>88.235294117647058</v>
      </c>
      <c r="L11" s="182">
        <v>17</v>
      </c>
      <c r="M11" s="13">
        <f t="shared" si="12"/>
        <v>1430.4635761589409</v>
      </c>
      <c r="N11" s="12">
        <f t="shared" si="3"/>
        <v>84.144916244643582</v>
      </c>
      <c r="O11" s="14">
        <f t="shared" si="4"/>
        <v>0</v>
      </c>
      <c r="P11" s="15">
        <f t="shared" si="5"/>
        <v>-4.0903778730034759</v>
      </c>
      <c r="Q11" s="175">
        <f t="shared" si="6"/>
        <v>0.95364238410596058</v>
      </c>
      <c r="R11" s="615"/>
      <c r="S11" s="34">
        <v>0.40486111111111112</v>
      </c>
      <c r="T11" s="34">
        <v>0.50972222222222219</v>
      </c>
      <c r="U11" s="176">
        <f t="shared" si="14"/>
        <v>5.9999999999999787</v>
      </c>
      <c r="V11" s="183">
        <f t="shared" si="13"/>
        <v>150.99999999999994</v>
      </c>
      <c r="W11" s="16">
        <f>T11</f>
        <v>0.50972222222222219</v>
      </c>
      <c r="X11" s="16">
        <f>S12</f>
        <v>0.55069444444444438</v>
      </c>
      <c r="Y11" s="16"/>
      <c r="Z11" s="16"/>
      <c r="AA11" s="617"/>
      <c r="AB11" s="617"/>
      <c r="AC11" s="35"/>
      <c r="AD11" s="18"/>
      <c r="AE11" s="14">
        <f t="shared" si="8"/>
        <v>-69.536423841059104</v>
      </c>
      <c r="AF11" s="175">
        <f t="shared" si="9"/>
        <v>0.95364238410596058</v>
      </c>
      <c r="AG11" s="615"/>
    </row>
    <row r="12" spans="1:33" ht="15.75" customHeight="1">
      <c r="A12" s="648" t="s">
        <v>7</v>
      </c>
      <c r="B12" s="29" t="s">
        <v>19</v>
      </c>
      <c r="C12" s="644" t="s">
        <v>21</v>
      </c>
      <c r="D12" s="645"/>
      <c r="E12" s="29">
        <v>39.799999999999997</v>
      </c>
      <c r="F12" s="184">
        <v>3342</v>
      </c>
      <c r="G12" s="176">
        <f t="shared" si="11"/>
        <v>133011.59999999998</v>
      </c>
      <c r="H12" s="33" t="s">
        <v>57</v>
      </c>
      <c r="I12" s="182">
        <v>17</v>
      </c>
      <c r="J12" s="31">
        <v>1500</v>
      </c>
      <c r="K12" s="12">
        <f t="shared" si="1"/>
        <v>88.235294117647058</v>
      </c>
      <c r="L12" s="182">
        <v>17</v>
      </c>
      <c r="M12" s="13">
        <f t="shared" si="12"/>
        <v>1432.2857142857147</v>
      </c>
      <c r="N12" s="12">
        <f t="shared" si="3"/>
        <v>84.252100840336155</v>
      </c>
      <c r="O12" s="14">
        <f t="shared" si="4"/>
        <v>0</v>
      </c>
      <c r="P12" s="15">
        <f t="shared" si="5"/>
        <v>-3.9831932773109031</v>
      </c>
      <c r="Q12" s="175">
        <f t="shared" si="6"/>
        <v>0.95485714285714307</v>
      </c>
      <c r="R12" s="615"/>
      <c r="S12" s="34">
        <v>0.55069444444444438</v>
      </c>
      <c r="T12" s="34">
        <v>0.64791666666666659</v>
      </c>
      <c r="U12" s="176">
        <f t="shared" si="14"/>
        <v>58.99999999999995</v>
      </c>
      <c r="V12" s="183">
        <f t="shared" si="13"/>
        <v>139.99999999999997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-67.714285714285325</v>
      </c>
      <c r="AF12" s="175">
        <f t="shared" si="9"/>
        <v>0.95485714285714307</v>
      </c>
      <c r="AG12" s="615"/>
    </row>
    <row r="13" spans="1:33" ht="16.5" customHeight="1">
      <c r="A13" s="648" t="s">
        <v>7</v>
      </c>
      <c r="B13" s="29" t="s">
        <v>6</v>
      </c>
      <c r="C13" s="618"/>
      <c r="D13" s="618"/>
      <c r="E13" s="177"/>
      <c r="F13" s="31"/>
      <c r="G13" s="13"/>
      <c r="H13" s="184"/>
      <c r="I13" s="23">
        <v>17.25</v>
      </c>
      <c r="J13" s="31">
        <v>1500</v>
      </c>
      <c r="K13" s="12">
        <f t="shared" si="1"/>
        <v>86.956521739130437</v>
      </c>
      <c r="L13" s="23">
        <v>17.25</v>
      </c>
      <c r="M13" s="13">
        <f>AVERAGE(M9:M12)</f>
        <v>1430.0535381239176</v>
      </c>
      <c r="N13" s="12">
        <f t="shared" si="3"/>
        <v>82.901654383995222</v>
      </c>
      <c r="O13" s="14">
        <f t="shared" si="4"/>
        <v>0</v>
      </c>
      <c r="P13" s="15">
        <f t="shared" si="5"/>
        <v>-4.0548673551352152</v>
      </c>
      <c r="Q13" s="175">
        <f t="shared" si="6"/>
        <v>0.95336902541594504</v>
      </c>
      <c r="R13" s="615"/>
      <c r="S13" s="34"/>
      <c r="T13" s="34"/>
      <c r="U13" s="12"/>
      <c r="V13" s="183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-69.946461876082367</v>
      </c>
      <c r="AF13" s="175">
        <f t="shared" si="9"/>
        <v>0.95336902541594504</v>
      </c>
      <c r="AG13" s="615"/>
    </row>
    <row r="14" spans="1:33" ht="16.5" customHeight="1">
      <c r="A14" s="646" t="s">
        <v>8</v>
      </c>
      <c r="B14" s="184" t="s">
        <v>22</v>
      </c>
      <c r="C14" s="640" t="s">
        <v>23</v>
      </c>
      <c r="D14" s="640"/>
      <c r="E14" s="29">
        <v>41</v>
      </c>
      <c r="F14" s="184">
        <v>1866</v>
      </c>
      <c r="G14" s="176">
        <f t="shared" ref="G14:G20" si="15">E14*F14</f>
        <v>76506</v>
      </c>
      <c r="H14" s="33" t="s">
        <v>57</v>
      </c>
      <c r="I14" s="182">
        <v>26</v>
      </c>
      <c r="J14" s="31">
        <v>1500</v>
      </c>
      <c r="K14" s="12">
        <f t="shared" si="1"/>
        <v>57.692307692307693</v>
      </c>
      <c r="L14" s="182">
        <v>26</v>
      </c>
      <c r="M14" s="13">
        <f t="shared" ref="M14:M20" si="16">F14/V14*60</f>
        <v>1435.3846153846152</v>
      </c>
      <c r="N14" s="12">
        <f t="shared" si="3"/>
        <v>55.207100591715971</v>
      </c>
      <c r="O14" s="14">
        <f t="shared" si="4"/>
        <v>0</v>
      </c>
      <c r="P14" s="15">
        <f t="shared" si="5"/>
        <v>-2.4852071005917225</v>
      </c>
      <c r="Q14" s="175">
        <f t="shared" si="6"/>
        <v>0.95692307692307677</v>
      </c>
      <c r="R14" s="615">
        <f>Q21</f>
        <v>0.95775334511211097</v>
      </c>
      <c r="S14" s="34">
        <v>8.3333333333333329E-2</v>
      </c>
      <c r="T14" s="34">
        <v>0.13750000000000001</v>
      </c>
      <c r="U14" s="176"/>
      <c r="V14" s="183">
        <f t="shared" ref="V14:V20" si="17">(T14-S14)*24*60</f>
        <v>78.000000000000014</v>
      </c>
      <c r="W14" s="16">
        <f>T14</f>
        <v>0.13750000000000001</v>
      </c>
      <c r="X14" s="16">
        <f>S15</f>
        <v>0.15694444444444444</v>
      </c>
      <c r="Y14" s="21"/>
      <c r="Z14" s="21"/>
      <c r="AA14" s="617"/>
      <c r="AB14" s="617"/>
      <c r="AC14" s="35">
        <v>7</v>
      </c>
      <c r="AD14" s="18"/>
      <c r="AE14" s="14">
        <f t="shared" si="8"/>
        <v>-64.615384615384755</v>
      </c>
      <c r="AF14" s="175">
        <f t="shared" si="9"/>
        <v>0.95692307692307688</v>
      </c>
      <c r="AG14" s="615">
        <f>AF21</f>
        <v>0.95775334511211108</v>
      </c>
    </row>
    <row r="15" spans="1:33" ht="16.5" customHeight="1">
      <c r="A15" s="647" t="s">
        <v>8</v>
      </c>
      <c r="B15" s="184" t="s">
        <v>22</v>
      </c>
      <c r="C15" s="640" t="s">
        <v>87</v>
      </c>
      <c r="D15" s="640"/>
      <c r="E15" s="29">
        <v>38.619999999999997</v>
      </c>
      <c r="F15" s="184">
        <v>2296</v>
      </c>
      <c r="G15" s="176">
        <f t="shared" si="15"/>
        <v>88671.51999999999</v>
      </c>
      <c r="H15" s="33" t="s">
        <v>57</v>
      </c>
      <c r="I15" s="182">
        <v>24</v>
      </c>
      <c r="J15" s="31">
        <v>1500</v>
      </c>
      <c r="K15" s="12">
        <f t="shared" si="1"/>
        <v>62.5</v>
      </c>
      <c r="L15" s="182">
        <v>24</v>
      </c>
      <c r="M15" s="13">
        <f t="shared" si="16"/>
        <v>1435.0000000000005</v>
      </c>
      <c r="N15" s="12">
        <f t="shared" si="3"/>
        <v>59.791666666666686</v>
      </c>
      <c r="O15" s="14">
        <f t="shared" si="4"/>
        <v>0</v>
      </c>
      <c r="P15" s="15">
        <f t="shared" si="5"/>
        <v>-2.7083333333333144</v>
      </c>
      <c r="Q15" s="175">
        <f t="shared" si="6"/>
        <v>0.956666666666667</v>
      </c>
      <c r="R15" s="615"/>
      <c r="S15" s="34">
        <v>0.15694444444444444</v>
      </c>
      <c r="T15" s="34">
        <v>0.22361111111111109</v>
      </c>
      <c r="U15" s="176">
        <f t="shared" ref="U15:U20" si="18">IF(S15=TIME(17,0,0),"",(S15-T14)*24*60)</f>
        <v>27.999999999999979</v>
      </c>
      <c r="V15" s="183">
        <f t="shared" si="17"/>
        <v>95.999999999999972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-64.999999999999545</v>
      </c>
      <c r="AF15" s="175">
        <f t="shared" si="9"/>
        <v>0.956666666666667</v>
      </c>
      <c r="AG15" s="615"/>
    </row>
    <row r="16" spans="1:33" ht="16.5" customHeight="1">
      <c r="A16" s="647" t="s">
        <v>8</v>
      </c>
      <c r="B16" s="184" t="s">
        <v>15</v>
      </c>
      <c r="C16" s="640" t="s">
        <v>86</v>
      </c>
      <c r="D16" s="640"/>
      <c r="E16" s="29">
        <v>37.03</v>
      </c>
      <c r="F16" s="184">
        <v>2962</v>
      </c>
      <c r="G16" s="176">
        <f t="shared" si="15"/>
        <v>109682.86</v>
      </c>
      <c r="H16" s="33" t="s">
        <v>57</v>
      </c>
      <c r="I16" s="182">
        <v>13</v>
      </c>
      <c r="J16" s="31">
        <v>1500</v>
      </c>
      <c r="K16" s="12">
        <f t="shared" si="1"/>
        <v>115.38461538461539</v>
      </c>
      <c r="L16" s="182">
        <v>13</v>
      </c>
      <c r="M16" s="13">
        <f t="shared" si="16"/>
        <v>1433.2258064516132</v>
      </c>
      <c r="N16" s="12">
        <f t="shared" si="3"/>
        <v>110.24813895781639</v>
      </c>
      <c r="O16" s="14">
        <f t="shared" si="4"/>
        <v>0</v>
      </c>
      <c r="P16" s="15">
        <f t="shared" si="5"/>
        <v>-5.1364764267989926</v>
      </c>
      <c r="Q16" s="175">
        <f t="shared" si="6"/>
        <v>0.95548387096774201</v>
      </c>
      <c r="R16" s="615"/>
      <c r="S16" s="34">
        <v>0.22847222222222222</v>
      </c>
      <c r="T16" s="34">
        <v>0.31458333333333333</v>
      </c>
      <c r="U16" s="176">
        <f t="shared" si="18"/>
        <v>7.0000000000000151</v>
      </c>
      <c r="V16" s="183">
        <f t="shared" si="17"/>
        <v>123.99999999999999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-66.774193548386847</v>
      </c>
      <c r="AF16" s="175">
        <f t="shared" si="9"/>
        <v>0.95548387096774212</v>
      </c>
      <c r="AG16" s="615"/>
    </row>
    <row r="17" spans="1:33" ht="16.5" customHeight="1">
      <c r="A17" s="647" t="s">
        <v>8</v>
      </c>
      <c r="B17" s="184" t="s">
        <v>19</v>
      </c>
      <c r="C17" s="640" t="s">
        <v>267</v>
      </c>
      <c r="D17" s="640"/>
      <c r="E17" s="29">
        <v>39.520000000000003</v>
      </c>
      <c r="F17" s="184">
        <v>5243</v>
      </c>
      <c r="G17" s="176">
        <f t="shared" si="15"/>
        <v>207203.36000000002</v>
      </c>
      <c r="H17" s="33" t="s">
        <v>57</v>
      </c>
      <c r="I17" s="182">
        <v>19</v>
      </c>
      <c r="J17" s="31">
        <v>1500</v>
      </c>
      <c r="K17" s="12">
        <f t="shared" si="1"/>
        <v>78.94736842105263</v>
      </c>
      <c r="L17" s="182">
        <v>19</v>
      </c>
      <c r="M17" s="13">
        <f t="shared" si="16"/>
        <v>1429.9090909090908</v>
      </c>
      <c r="N17" s="12">
        <f t="shared" si="3"/>
        <v>75.25837320574162</v>
      </c>
      <c r="O17" s="14">
        <f t="shared" si="4"/>
        <v>0</v>
      </c>
      <c r="P17" s="15">
        <f t="shared" si="5"/>
        <v>-3.6889952153110102</v>
      </c>
      <c r="Q17" s="175">
        <f t="shared" si="6"/>
        <v>0.95327272727272716</v>
      </c>
      <c r="R17" s="615"/>
      <c r="S17" s="34">
        <v>0.31944444444444442</v>
      </c>
      <c r="T17" s="34">
        <v>0.47222222222222221</v>
      </c>
      <c r="U17" s="176">
        <f t="shared" si="18"/>
        <v>6.9999999999999751</v>
      </c>
      <c r="V17" s="183">
        <f t="shared" si="17"/>
        <v>220.00000000000003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-70.090909090909236</v>
      </c>
      <c r="AF17" s="175">
        <f t="shared" si="9"/>
        <v>0.95327272727272716</v>
      </c>
      <c r="AG17" s="615"/>
    </row>
    <row r="18" spans="1:33" ht="16.5" customHeight="1">
      <c r="A18" s="647" t="s">
        <v>8</v>
      </c>
      <c r="B18" s="184" t="s">
        <v>15</v>
      </c>
      <c r="C18" s="640" t="s">
        <v>25</v>
      </c>
      <c r="D18" s="640"/>
      <c r="E18" s="29">
        <v>53.68</v>
      </c>
      <c r="F18" s="184">
        <v>1208</v>
      </c>
      <c r="G18" s="176">
        <f t="shared" si="15"/>
        <v>64845.440000000002</v>
      </c>
      <c r="H18" s="33" t="s">
        <v>57</v>
      </c>
      <c r="I18" s="182">
        <v>16</v>
      </c>
      <c r="J18" s="31">
        <v>1500</v>
      </c>
      <c r="K18" s="12">
        <f t="shared" si="1"/>
        <v>93.75</v>
      </c>
      <c r="L18" s="182">
        <v>16</v>
      </c>
      <c r="M18" s="13">
        <f t="shared" si="16"/>
        <v>1449.6000000000004</v>
      </c>
      <c r="N18" s="12">
        <f t="shared" si="3"/>
        <v>90.600000000000023</v>
      </c>
      <c r="O18" s="14">
        <f t="shared" si="4"/>
        <v>0</v>
      </c>
      <c r="P18" s="15">
        <f t="shared" si="5"/>
        <v>-3.1499999999999773</v>
      </c>
      <c r="Q18" s="175">
        <f t="shared" si="6"/>
        <v>0.96640000000000026</v>
      </c>
      <c r="R18" s="615"/>
      <c r="S18" s="34">
        <v>0.70833333333333337</v>
      </c>
      <c r="T18" s="34">
        <v>0.74305555555555558</v>
      </c>
      <c r="U18" s="176" t="str">
        <f t="shared" si="18"/>
        <v/>
      </c>
      <c r="V18" s="183">
        <f t="shared" si="17"/>
        <v>49.999999999999986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-50.399999999999636</v>
      </c>
      <c r="AF18" s="175">
        <f t="shared" si="9"/>
        <v>0.96640000000000026</v>
      </c>
      <c r="AG18" s="615"/>
    </row>
    <row r="19" spans="1:33" ht="16.5" customHeight="1">
      <c r="A19" s="647" t="s">
        <v>8</v>
      </c>
      <c r="B19" s="184" t="s">
        <v>15</v>
      </c>
      <c r="C19" s="186" t="s">
        <v>18</v>
      </c>
      <c r="D19" s="187"/>
      <c r="E19" s="29">
        <v>52.86</v>
      </c>
      <c r="F19" s="184">
        <v>1345</v>
      </c>
      <c r="G19" s="176">
        <f t="shared" si="15"/>
        <v>71096.7</v>
      </c>
      <c r="H19" s="33" t="s">
        <v>57</v>
      </c>
      <c r="I19" s="182">
        <v>16</v>
      </c>
      <c r="J19" s="31">
        <v>2000</v>
      </c>
      <c r="K19" s="12">
        <f t="shared" si="1"/>
        <v>125</v>
      </c>
      <c r="L19" s="182">
        <v>16</v>
      </c>
      <c r="M19" s="13">
        <f t="shared" si="16"/>
        <v>1921.4285714285706</v>
      </c>
      <c r="N19" s="12">
        <f t="shared" si="3"/>
        <v>120.08928571428567</v>
      </c>
      <c r="O19" s="14">
        <f t="shared" si="4"/>
        <v>0</v>
      </c>
      <c r="P19" s="15">
        <f t="shared" si="5"/>
        <v>-4.9107142857143344</v>
      </c>
      <c r="Q19" s="175">
        <f t="shared" si="6"/>
        <v>0.9607142857142853</v>
      </c>
      <c r="R19" s="615"/>
      <c r="S19" s="34">
        <v>0.74791666666666667</v>
      </c>
      <c r="T19" s="34">
        <v>0.77708333333333335</v>
      </c>
      <c r="U19" s="176">
        <f t="shared" si="18"/>
        <v>6.9999999999999751</v>
      </c>
      <c r="V19" s="183">
        <f t="shared" si="17"/>
        <v>42.000000000000014</v>
      </c>
      <c r="W19" s="16"/>
      <c r="X19" s="16"/>
      <c r="Y19" s="19"/>
      <c r="Z19" s="19"/>
      <c r="AA19" s="180"/>
      <c r="AB19" s="181"/>
      <c r="AC19" s="35"/>
      <c r="AD19" s="18"/>
      <c r="AE19" s="14">
        <f t="shared" si="8"/>
        <v>-78.571428571429351</v>
      </c>
      <c r="AF19" s="175">
        <f t="shared" si="9"/>
        <v>0.9607142857142853</v>
      </c>
      <c r="AG19" s="615"/>
    </row>
    <row r="20" spans="1:33" ht="16.5" customHeight="1">
      <c r="A20" s="647" t="s">
        <v>8</v>
      </c>
      <c r="B20" s="184" t="s">
        <v>15</v>
      </c>
      <c r="C20" s="186" t="s">
        <v>16</v>
      </c>
      <c r="D20" s="187"/>
      <c r="E20" s="29">
        <v>50.67</v>
      </c>
      <c r="F20" s="184">
        <v>1655</v>
      </c>
      <c r="G20" s="176">
        <f t="shared" si="15"/>
        <v>83858.850000000006</v>
      </c>
      <c r="H20" s="33" t="s">
        <v>57</v>
      </c>
      <c r="I20" s="182">
        <v>17</v>
      </c>
      <c r="J20" s="31">
        <v>2000</v>
      </c>
      <c r="K20" s="12">
        <f t="shared" si="1"/>
        <v>117.64705882352941</v>
      </c>
      <c r="L20" s="182">
        <v>17</v>
      </c>
      <c r="M20" s="13">
        <f t="shared" si="16"/>
        <v>1909.6153846153857</v>
      </c>
      <c r="N20" s="12">
        <f t="shared" si="3"/>
        <v>112.33031674208151</v>
      </c>
      <c r="O20" s="14">
        <f t="shared" si="4"/>
        <v>0</v>
      </c>
      <c r="P20" s="15">
        <f t="shared" si="5"/>
        <v>-5.3167420814478987</v>
      </c>
      <c r="Q20" s="175">
        <f t="shared" si="6"/>
        <v>0.95480769230769291</v>
      </c>
      <c r="R20" s="615"/>
      <c r="S20" s="34">
        <v>0.78055555555555556</v>
      </c>
      <c r="T20" s="34">
        <v>0.81666666666666665</v>
      </c>
      <c r="U20" s="176">
        <f t="shared" si="18"/>
        <v>4.9999999999999822</v>
      </c>
      <c r="V20" s="183">
        <f t="shared" si="17"/>
        <v>51.999999999999972</v>
      </c>
      <c r="W20" s="16"/>
      <c r="X20" s="16"/>
      <c r="Y20" s="19"/>
      <c r="Z20" s="19"/>
      <c r="AA20" s="180"/>
      <c r="AB20" s="181"/>
      <c r="AC20" s="35"/>
      <c r="AD20" s="18"/>
      <c r="AE20" s="14">
        <f t="shared" si="8"/>
        <v>-90.384615384614335</v>
      </c>
      <c r="AF20" s="175">
        <f t="shared" si="9"/>
        <v>0.9548076923076928</v>
      </c>
      <c r="AG20" s="615"/>
    </row>
    <row r="21" spans="1:33" ht="16.5" customHeight="1">
      <c r="A21" s="647" t="s">
        <v>8</v>
      </c>
      <c r="B21" s="29" t="s">
        <v>6</v>
      </c>
      <c r="C21" s="618"/>
      <c r="D21" s="618"/>
      <c r="E21" s="177"/>
      <c r="F21" s="30"/>
      <c r="G21" s="12"/>
      <c r="H21" s="184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1573.4519241127539</v>
      </c>
      <c r="N21" s="12">
        <f t="shared" si="3"/>
        <v>84.077583731215853</v>
      </c>
      <c r="O21" s="14">
        <f t="shared" si="4"/>
        <v>0</v>
      </c>
      <c r="P21" s="15">
        <f t="shared" si="5"/>
        <v>-3.7086758107688809</v>
      </c>
      <c r="Q21" s="175">
        <f t="shared" si="6"/>
        <v>0.95775334511211097</v>
      </c>
      <c r="R21" s="615"/>
      <c r="S21" s="34"/>
      <c r="T21" s="34"/>
      <c r="U21" s="176"/>
      <c r="V21" s="183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-69.405218744389003</v>
      </c>
      <c r="AF21" s="175">
        <f t="shared" si="9"/>
        <v>0.95775334511211108</v>
      </c>
      <c r="AG21" s="615"/>
    </row>
    <row r="22" spans="1:33" ht="15.75" customHeight="1">
      <c r="A22" s="642" t="s">
        <v>9</v>
      </c>
      <c r="B22" s="29" t="s">
        <v>15</v>
      </c>
      <c r="C22" s="640" t="s">
        <v>24</v>
      </c>
      <c r="D22" s="640"/>
      <c r="E22" s="29">
        <v>54.09</v>
      </c>
      <c r="F22" s="184">
        <v>1446</v>
      </c>
      <c r="G22" s="176">
        <f t="shared" ref="G22:G27" si="19">E22*F22</f>
        <v>78214.14</v>
      </c>
      <c r="H22" s="33" t="s">
        <v>57</v>
      </c>
      <c r="I22" s="182">
        <v>17</v>
      </c>
      <c r="J22" s="31">
        <v>1500</v>
      </c>
      <c r="K22" s="12">
        <f t="shared" si="1"/>
        <v>88.235294117647058</v>
      </c>
      <c r="L22" s="182">
        <v>17</v>
      </c>
      <c r="M22" s="13">
        <f t="shared" ref="M22:M27" si="20">F22/V22*60</f>
        <v>1446.0000000000002</v>
      </c>
      <c r="N22" s="12">
        <f t="shared" si="3"/>
        <v>85.058823529411782</v>
      </c>
      <c r="O22" s="14">
        <f t="shared" si="4"/>
        <v>0</v>
      </c>
      <c r="P22" s="15">
        <f t="shared" si="5"/>
        <v>-3.1764705882352757</v>
      </c>
      <c r="Q22" s="175">
        <f t="shared" si="6"/>
        <v>0.96400000000000019</v>
      </c>
      <c r="R22" s="615">
        <f>Q28</f>
        <v>0.96013658516080047</v>
      </c>
      <c r="S22" s="34">
        <v>0.20833333333333334</v>
      </c>
      <c r="T22" s="34">
        <v>0.25</v>
      </c>
      <c r="U22" s="176"/>
      <c r="V22" s="183">
        <f t="shared" ref="V22:V27" si="21">(T22-S22)*24*60</f>
        <v>59.999999999999986</v>
      </c>
      <c r="W22" s="21"/>
      <c r="X22" s="21"/>
      <c r="Y22" s="21"/>
      <c r="Z22" s="21"/>
      <c r="AA22" s="617"/>
      <c r="AB22" s="617"/>
      <c r="AC22" s="35">
        <v>6</v>
      </c>
      <c r="AD22" s="18"/>
      <c r="AE22" s="14">
        <f t="shared" si="8"/>
        <v>-53.999999999999773</v>
      </c>
      <c r="AF22" s="175">
        <f t="shared" si="9"/>
        <v>0.96400000000000019</v>
      </c>
      <c r="AG22" s="615">
        <f>AF28</f>
        <v>0.96013658516080047</v>
      </c>
    </row>
    <row r="23" spans="1:33" ht="15.75" customHeight="1">
      <c r="A23" s="643" t="s">
        <v>9</v>
      </c>
      <c r="B23" s="29" t="s">
        <v>15</v>
      </c>
      <c r="C23" s="640" t="s">
        <v>28</v>
      </c>
      <c r="D23" s="640"/>
      <c r="E23" s="29">
        <v>50.67</v>
      </c>
      <c r="F23" s="184">
        <v>1680</v>
      </c>
      <c r="G23" s="176">
        <f t="shared" si="19"/>
        <v>85125.6</v>
      </c>
      <c r="H23" s="33" t="s">
        <v>57</v>
      </c>
      <c r="I23" s="182">
        <v>17</v>
      </c>
      <c r="J23" s="31">
        <v>2000</v>
      </c>
      <c r="K23" s="12">
        <f t="shared" si="1"/>
        <v>117.64705882352941</v>
      </c>
      <c r="L23" s="182">
        <v>17</v>
      </c>
      <c r="M23" s="13">
        <f t="shared" si="20"/>
        <v>1938.4615384615397</v>
      </c>
      <c r="N23" s="12">
        <f t="shared" si="3"/>
        <v>114.02714932126705</v>
      </c>
      <c r="O23" s="14">
        <f t="shared" si="4"/>
        <v>0</v>
      </c>
      <c r="P23" s="15">
        <f t="shared" si="5"/>
        <v>-3.6199095022623595</v>
      </c>
      <c r="Q23" s="175">
        <f t="shared" si="6"/>
        <v>0.9692307692307699</v>
      </c>
      <c r="R23" s="615"/>
      <c r="S23" s="34">
        <v>0.25347222222222221</v>
      </c>
      <c r="T23" s="34">
        <v>0.2895833333333333</v>
      </c>
      <c r="U23" s="176">
        <f t="shared" ref="U23:U27" si="22">IF(S23=TIME(17,0,0),"",(S23-T22)*24*60)</f>
        <v>4.9999999999999822</v>
      </c>
      <c r="V23" s="183">
        <f t="shared" si="21"/>
        <v>51.999999999999972</v>
      </c>
      <c r="W23" s="16"/>
      <c r="X23" s="176"/>
      <c r="Y23" s="176"/>
      <c r="Z23" s="176"/>
      <c r="AA23" s="617"/>
      <c r="AB23" s="617"/>
      <c r="AC23" s="35"/>
      <c r="AD23" s="18"/>
      <c r="AE23" s="14">
        <f t="shared" si="8"/>
        <v>-61.538461538460297</v>
      </c>
      <c r="AF23" s="175">
        <f t="shared" si="9"/>
        <v>0.9692307692307699</v>
      </c>
      <c r="AG23" s="615"/>
    </row>
    <row r="24" spans="1:33" ht="15.75" customHeight="1">
      <c r="A24" s="643" t="s">
        <v>9</v>
      </c>
      <c r="B24" s="29" t="s">
        <v>15</v>
      </c>
      <c r="C24" s="640" t="s">
        <v>29</v>
      </c>
      <c r="D24" s="640"/>
      <c r="E24" s="29">
        <v>57.73</v>
      </c>
      <c r="F24" s="184">
        <v>2147</v>
      </c>
      <c r="G24" s="176">
        <f t="shared" si="19"/>
        <v>123946.31</v>
      </c>
      <c r="H24" s="33" t="s">
        <v>57</v>
      </c>
      <c r="I24" s="182">
        <v>14</v>
      </c>
      <c r="J24" s="31">
        <v>2000</v>
      </c>
      <c r="K24" s="12">
        <f t="shared" si="1"/>
        <v>142.85714285714286</v>
      </c>
      <c r="L24" s="182">
        <v>14</v>
      </c>
      <c r="M24" s="13">
        <f t="shared" si="20"/>
        <v>1922.686567164179</v>
      </c>
      <c r="N24" s="12">
        <f t="shared" si="3"/>
        <v>137.33475479744135</v>
      </c>
      <c r="O24" s="14">
        <f t="shared" si="4"/>
        <v>0</v>
      </c>
      <c r="P24" s="15">
        <f t="shared" si="5"/>
        <v>-5.5223880597015125</v>
      </c>
      <c r="Q24" s="175">
        <f t="shared" si="6"/>
        <v>0.96134328358208943</v>
      </c>
      <c r="R24" s="615"/>
      <c r="S24" s="34">
        <v>0.29513888888888884</v>
      </c>
      <c r="T24" s="34">
        <v>0.34166666666666662</v>
      </c>
      <c r="U24" s="176">
        <f t="shared" si="22"/>
        <v>7.9999999999999716</v>
      </c>
      <c r="V24" s="183">
        <f t="shared" si="21"/>
        <v>67</v>
      </c>
      <c r="W24" s="16"/>
      <c r="X24" s="176"/>
      <c r="Y24" s="176"/>
      <c r="Z24" s="176"/>
      <c r="AA24" s="617"/>
      <c r="AB24" s="617"/>
      <c r="AC24" s="35"/>
      <c r="AD24" s="18"/>
      <c r="AE24" s="14">
        <f t="shared" si="8"/>
        <v>-77.313432835821004</v>
      </c>
      <c r="AF24" s="175">
        <f t="shared" si="9"/>
        <v>0.96134328358208954</v>
      </c>
      <c r="AG24" s="615"/>
    </row>
    <row r="25" spans="1:33" ht="15.75" customHeight="1">
      <c r="A25" s="643" t="s">
        <v>9</v>
      </c>
      <c r="B25" s="29" t="s">
        <v>15</v>
      </c>
      <c r="C25" s="640" t="s">
        <v>80</v>
      </c>
      <c r="D25" s="640"/>
      <c r="E25" s="29">
        <v>53.27</v>
      </c>
      <c r="F25" s="184">
        <v>1817</v>
      </c>
      <c r="G25" s="176">
        <f t="shared" si="19"/>
        <v>96791.590000000011</v>
      </c>
      <c r="H25" s="33" t="s">
        <v>57</v>
      </c>
      <c r="I25" s="182">
        <v>16</v>
      </c>
      <c r="J25" s="31">
        <v>2000</v>
      </c>
      <c r="K25" s="12">
        <f t="shared" si="1"/>
        <v>125</v>
      </c>
      <c r="L25" s="182">
        <v>16</v>
      </c>
      <c r="M25" s="13">
        <f t="shared" si="20"/>
        <v>1912.6315789473672</v>
      </c>
      <c r="N25" s="12">
        <f t="shared" si="3"/>
        <v>119.53947368421045</v>
      </c>
      <c r="O25" s="14">
        <f t="shared" si="4"/>
        <v>0</v>
      </c>
      <c r="P25" s="15">
        <f t="shared" si="5"/>
        <v>-5.4605263157895507</v>
      </c>
      <c r="Q25" s="175">
        <f t="shared" si="6"/>
        <v>0.95631578947368356</v>
      </c>
      <c r="R25" s="615"/>
      <c r="S25" s="34">
        <v>0.34652777777777771</v>
      </c>
      <c r="T25" s="34">
        <v>0.38611111111111107</v>
      </c>
      <c r="U25" s="176">
        <f t="shared" si="22"/>
        <v>6.9999999999999751</v>
      </c>
      <c r="V25" s="183">
        <f t="shared" si="21"/>
        <v>57.000000000000036</v>
      </c>
      <c r="W25" s="16"/>
      <c r="X25" s="176"/>
      <c r="Y25" s="176"/>
      <c r="Z25" s="176"/>
      <c r="AA25" s="617"/>
      <c r="AB25" s="617"/>
      <c r="AC25" s="35"/>
      <c r="AD25" s="18"/>
      <c r="AE25" s="14">
        <f t="shared" si="8"/>
        <v>-87.368421052632812</v>
      </c>
      <c r="AF25" s="175">
        <f t="shared" si="9"/>
        <v>0.95631578947368356</v>
      </c>
      <c r="AG25" s="615"/>
    </row>
    <row r="26" spans="1:33" ht="15.75" customHeight="1">
      <c r="A26" s="643" t="s">
        <v>9</v>
      </c>
      <c r="B26" s="29" t="s">
        <v>15</v>
      </c>
      <c r="C26" s="640" t="s">
        <v>30</v>
      </c>
      <c r="D26" s="640"/>
      <c r="E26" s="29">
        <v>50.49</v>
      </c>
      <c r="F26" s="184">
        <v>1995</v>
      </c>
      <c r="G26" s="176">
        <f t="shared" si="19"/>
        <v>100727.55</v>
      </c>
      <c r="H26" s="33" t="s">
        <v>57</v>
      </c>
      <c r="I26" s="182">
        <v>15</v>
      </c>
      <c r="J26" s="31">
        <v>2000</v>
      </c>
      <c r="K26" s="12">
        <f t="shared" si="1"/>
        <v>133.33333333333334</v>
      </c>
      <c r="L26" s="182">
        <v>15</v>
      </c>
      <c r="M26" s="13">
        <f t="shared" si="20"/>
        <v>1900.000000000002</v>
      </c>
      <c r="N26" s="12">
        <f t="shared" si="3"/>
        <v>126.6666666666668</v>
      </c>
      <c r="O26" s="14">
        <f t="shared" si="4"/>
        <v>0</v>
      </c>
      <c r="P26" s="15">
        <f t="shared" si="5"/>
        <v>-6.6666666666665435</v>
      </c>
      <c r="Q26" s="175">
        <f t="shared" si="6"/>
        <v>0.95000000000000095</v>
      </c>
      <c r="R26" s="615"/>
      <c r="S26" s="34">
        <v>0.70833333333333337</v>
      </c>
      <c r="T26" s="34">
        <v>0.75208333333333333</v>
      </c>
      <c r="U26" s="176" t="str">
        <f t="shared" si="22"/>
        <v/>
      </c>
      <c r="V26" s="183">
        <f t="shared" si="21"/>
        <v>62.999999999999936</v>
      </c>
      <c r="W26" s="16"/>
      <c r="X26" s="16"/>
      <c r="Y26" s="176"/>
      <c r="Z26" s="176"/>
      <c r="AA26" s="617"/>
      <c r="AB26" s="617"/>
      <c r="AC26" s="35"/>
      <c r="AD26" s="18"/>
      <c r="AE26" s="14">
        <f t="shared" si="8"/>
        <v>-99.999999999997954</v>
      </c>
      <c r="AF26" s="175">
        <f t="shared" si="9"/>
        <v>0.95000000000000107</v>
      </c>
      <c r="AG26" s="615"/>
    </row>
    <row r="27" spans="1:33" ht="15.75" customHeight="1">
      <c r="A27" s="643" t="s">
        <v>9</v>
      </c>
      <c r="B27" s="29" t="s">
        <v>15</v>
      </c>
      <c r="C27" s="640" t="s">
        <v>85</v>
      </c>
      <c r="D27" s="640"/>
      <c r="E27" s="29">
        <v>56.43</v>
      </c>
      <c r="F27" s="184">
        <v>2146</v>
      </c>
      <c r="G27" s="176">
        <f t="shared" si="19"/>
        <v>121098.78</v>
      </c>
      <c r="H27" s="33" t="s">
        <v>57</v>
      </c>
      <c r="I27" s="182">
        <v>13</v>
      </c>
      <c r="J27" s="31">
        <v>2000</v>
      </c>
      <c r="K27" s="12">
        <f t="shared" si="1"/>
        <v>153.84615384615384</v>
      </c>
      <c r="L27" s="182">
        <v>13</v>
      </c>
      <c r="M27" s="13">
        <f t="shared" si="20"/>
        <v>1921.7910447761169</v>
      </c>
      <c r="N27" s="12">
        <f t="shared" si="3"/>
        <v>147.83008036739361</v>
      </c>
      <c r="O27" s="14">
        <f t="shared" si="4"/>
        <v>0</v>
      </c>
      <c r="P27" s="15">
        <f t="shared" si="5"/>
        <v>-6.0160734787602337</v>
      </c>
      <c r="Q27" s="175">
        <f t="shared" si="6"/>
        <v>0.96089552238805853</v>
      </c>
      <c r="R27" s="615"/>
      <c r="S27" s="34">
        <v>0.75763888888888886</v>
      </c>
      <c r="T27" s="34">
        <v>0.8041666666666667</v>
      </c>
      <c r="U27" s="176">
        <f t="shared" si="22"/>
        <v>7.9999999999999716</v>
      </c>
      <c r="V27" s="183">
        <f t="shared" si="21"/>
        <v>67.000000000000085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-78.208955223883095</v>
      </c>
      <c r="AF27" s="175">
        <f t="shared" si="9"/>
        <v>0.96089552238805842</v>
      </c>
      <c r="AG27" s="615"/>
    </row>
    <row r="28" spans="1:33" ht="15.75" customHeight="1">
      <c r="A28" s="643" t="s">
        <v>9</v>
      </c>
      <c r="B28" s="29" t="s">
        <v>6</v>
      </c>
      <c r="C28" s="618"/>
      <c r="D28" s="618"/>
      <c r="E28" s="177"/>
      <c r="F28" s="184"/>
      <c r="G28" s="176"/>
      <c r="H28" s="184"/>
      <c r="I28" s="23">
        <v>15.333333333333334</v>
      </c>
      <c r="J28" s="31">
        <v>1916.6666666666667</v>
      </c>
      <c r="K28" s="12">
        <f t="shared" si="1"/>
        <v>125</v>
      </c>
      <c r="L28" s="23">
        <v>15.333333333333334</v>
      </c>
      <c r="M28" s="13">
        <f>AVERAGE(M22:M27)</f>
        <v>1840.2617882248676</v>
      </c>
      <c r="N28" s="12">
        <f t="shared" si="3"/>
        <v>120.01707314510006</v>
      </c>
      <c r="O28" s="14">
        <f t="shared" si="4"/>
        <v>0</v>
      </c>
      <c r="P28" s="15">
        <f t="shared" si="5"/>
        <v>-4.9829268548999437</v>
      </c>
      <c r="Q28" s="175">
        <f t="shared" si="6"/>
        <v>0.96013658516080047</v>
      </c>
      <c r="R28" s="615"/>
      <c r="S28" s="34"/>
      <c r="T28" s="34"/>
      <c r="U28" s="12"/>
      <c r="V28" s="183"/>
      <c r="W28" s="12"/>
      <c r="X28" s="12"/>
      <c r="Y28" s="24">
        <f>SUM(Y22:Y27)</f>
        <v>0</v>
      </c>
      <c r="Z28" s="24">
        <f>SUM(Z22:Z27)</f>
        <v>0</v>
      </c>
      <c r="AA28" s="614"/>
      <c r="AB28" s="614"/>
      <c r="AC28" s="24">
        <v>6</v>
      </c>
      <c r="AD28" s="24">
        <f>SUM(AD22:AD27)</f>
        <v>0</v>
      </c>
      <c r="AE28" s="14">
        <f t="shared" si="8"/>
        <v>-76.404878441799156</v>
      </c>
      <c r="AF28" s="175">
        <f t="shared" si="9"/>
        <v>0.96013658516080047</v>
      </c>
      <c r="AG28" s="615"/>
    </row>
    <row r="29" spans="1:33" ht="15.75" customHeight="1">
      <c r="A29" s="641" t="s">
        <v>10</v>
      </c>
      <c r="B29" s="29" t="s">
        <v>32</v>
      </c>
      <c r="C29" s="640" t="s">
        <v>33</v>
      </c>
      <c r="D29" s="640"/>
      <c r="E29" s="29">
        <v>31.29</v>
      </c>
      <c r="F29" s="184">
        <v>5000</v>
      </c>
      <c r="G29" s="176">
        <f t="shared" ref="G29:G33" si="23">E29*F29</f>
        <v>156450</v>
      </c>
      <c r="H29" s="33">
        <v>2</v>
      </c>
      <c r="I29" s="182">
        <v>18</v>
      </c>
      <c r="J29" s="31">
        <v>2400</v>
      </c>
      <c r="K29" s="12">
        <f t="shared" si="1"/>
        <v>133.33333333333334</v>
      </c>
      <c r="L29" s="182">
        <v>18</v>
      </c>
      <c r="M29" s="13">
        <f t="shared" ref="M29:M33" si="24">F29/V29*60</f>
        <v>2290.0763358778627</v>
      </c>
      <c r="N29" s="12">
        <f t="shared" si="3"/>
        <v>127.2264631043257</v>
      </c>
      <c r="O29" s="14">
        <f t="shared" si="4"/>
        <v>0</v>
      </c>
      <c r="P29" s="15">
        <f t="shared" si="5"/>
        <v>-6.1068702290076402</v>
      </c>
      <c r="Q29" s="175">
        <f t="shared" si="6"/>
        <v>0.95419847328244267</v>
      </c>
      <c r="R29" s="615">
        <f>Q34</f>
        <v>0.95711312105603374</v>
      </c>
      <c r="S29" s="34">
        <v>8.3333333333333329E-2</v>
      </c>
      <c r="T29" s="34">
        <v>0.17430555555555555</v>
      </c>
      <c r="U29" s="176"/>
      <c r="V29" s="183">
        <f t="shared" ref="V29:V33" si="25">(T29-S29)*24*60</f>
        <v>131</v>
      </c>
      <c r="W29" s="16">
        <f>T29</f>
        <v>0.17430555555555555</v>
      </c>
      <c r="X29" s="16">
        <f>S30</f>
        <v>0.19166666666666662</v>
      </c>
      <c r="Y29" s="16"/>
      <c r="Z29" s="16"/>
      <c r="AA29" s="617"/>
      <c r="AB29" s="617"/>
      <c r="AC29" s="35">
        <v>5</v>
      </c>
      <c r="AD29" s="18"/>
      <c r="AE29" s="14">
        <f t="shared" si="8"/>
        <v>-109.92366412213732</v>
      </c>
      <c r="AF29" s="175">
        <f t="shared" si="9"/>
        <v>0.95419847328244278</v>
      </c>
      <c r="AG29" s="615">
        <f>AF34</f>
        <v>0.95711312105603363</v>
      </c>
    </row>
    <row r="30" spans="1:33" ht="15.75" customHeight="1">
      <c r="A30" s="641" t="s">
        <v>10</v>
      </c>
      <c r="B30" s="29" t="s">
        <v>32</v>
      </c>
      <c r="C30" s="640" t="s">
        <v>34</v>
      </c>
      <c r="D30" s="640"/>
      <c r="E30" s="29">
        <v>26.37</v>
      </c>
      <c r="F30" s="184">
        <v>5503</v>
      </c>
      <c r="G30" s="176">
        <f t="shared" si="23"/>
        <v>145114.11000000002</v>
      </c>
      <c r="H30" s="33" t="s">
        <v>57</v>
      </c>
      <c r="I30" s="182">
        <v>18</v>
      </c>
      <c r="J30" s="31">
        <v>2400</v>
      </c>
      <c r="K30" s="12">
        <f t="shared" si="1"/>
        <v>133.33333333333334</v>
      </c>
      <c r="L30" s="182">
        <v>18</v>
      </c>
      <c r="M30" s="13">
        <f t="shared" si="24"/>
        <v>2292.9166666666661</v>
      </c>
      <c r="N30" s="12">
        <f t="shared" si="3"/>
        <v>127.38425925925922</v>
      </c>
      <c r="O30" s="14">
        <f t="shared" si="4"/>
        <v>0</v>
      </c>
      <c r="P30" s="15">
        <f t="shared" si="5"/>
        <v>-5.9490740740741188</v>
      </c>
      <c r="Q30" s="175">
        <f t="shared" si="6"/>
        <v>0.95538194444444413</v>
      </c>
      <c r="R30" s="615"/>
      <c r="S30" s="34">
        <v>0.19166666666666662</v>
      </c>
      <c r="T30" s="34">
        <v>0.29166666666666663</v>
      </c>
      <c r="U30" s="176">
        <f t="shared" ref="U30:U33" si="26">(S30-T29)*24*60</f>
        <v>24.99999999999995</v>
      </c>
      <c r="V30" s="183">
        <f t="shared" si="25"/>
        <v>144.00000000000003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-107.08333333333394</v>
      </c>
      <c r="AF30" s="175">
        <f t="shared" si="9"/>
        <v>0.95538194444444424</v>
      </c>
      <c r="AG30" s="615"/>
    </row>
    <row r="31" spans="1:33" ht="15.75" customHeight="1">
      <c r="A31" s="641" t="s">
        <v>10</v>
      </c>
      <c r="B31" s="29" t="s">
        <v>32</v>
      </c>
      <c r="C31" s="640" t="s">
        <v>76</v>
      </c>
      <c r="D31" s="640"/>
      <c r="E31" s="29">
        <v>26.18</v>
      </c>
      <c r="F31" s="184">
        <v>7031</v>
      </c>
      <c r="G31" s="176">
        <f t="shared" si="23"/>
        <v>184071.58</v>
      </c>
      <c r="H31" s="33" t="s">
        <v>57</v>
      </c>
      <c r="I31" s="182">
        <v>18</v>
      </c>
      <c r="J31" s="31">
        <v>2400</v>
      </c>
      <c r="K31" s="12">
        <f t="shared" si="1"/>
        <v>133.33333333333334</v>
      </c>
      <c r="L31" s="182">
        <v>18</v>
      </c>
      <c r="M31" s="13">
        <f t="shared" si="24"/>
        <v>2292.717391304348</v>
      </c>
      <c r="N31" s="12">
        <f t="shared" si="3"/>
        <v>127.37318840579711</v>
      </c>
      <c r="O31" s="14">
        <f t="shared" si="4"/>
        <v>0</v>
      </c>
      <c r="P31" s="15">
        <f t="shared" si="5"/>
        <v>-5.9601449275362341</v>
      </c>
      <c r="Q31" s="175">
        <f t="shared" si="6"/>
        <v>0.95529891304347825</v>
      </c>
      <c r="R31" s="615"/>
      <c r="S31" s="34">
        <v>0.29513888888888884</v>
      </c>
      <c r="T31" s="34">
        <v>0.42291666666666661</v>
      </c>
      <c r="U31" s="176">
        <f t="shared" si="26"/>
        <v>4.9999999999999822</v>
      </c>
      <c r="V31" s="183">
        <f t="shared" si="25"/>
        <v>184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-107.28260869565202</v>
      </c>
      <c r="AF31" s="175">
        <f t="shared" si="9"/>
        <v>0.95529891304347836</v>
      </c>
      <c r="AG31" s="615"/>
    </row>
    <row r="32" spans="1:33" ht="15.75" customHeight="1">
      <c r="A32" s="641" t="s">
        <v>10</v>
      </c>
      <c r="B32" s="29" t="s">
        <v>32</v>
      </c>
      <c r="C32" s="640" t="s">
        <v>35</v>
      </c>
      <c r="D32" s="640"/>
      <c r="E32" s="29">
        <v>25.99</v>
      </c>
      <c r="F32" s="184">
        <v>3450</v>
      </c>
      <c r="G32" s="176">
        <f t="shared" si="23"/>
        <v>89665.5</v>
      </c>
      <c r="H32" s="33" t="s">
        <v>57</v>
      </c>
      <c r="I32" s="182">
        <v>14</v>
      </c>
      <c r="J32" s="31">
        <v>2400</v>
      </c>
      <c r="K32" s="12">
        <f t="shared" si="1"/>
        <v>171.42857142857142</v>
      </c>
      <c r="L32" s="182">
        <v>14</v>
      </c>
      <c r="M32" s="13">
        <f t="shared" si="24"/>
        <v>2300</v>
      </c>
      <c r="N32" s="12">
        <f t="shared" si="3"/>
        <v>164.28571428571428</v>
      </c>
      <c r="O32" s="14">
        <f t="shared" si="4"/>
        <v>0</v>
      </c>
      <c r="P32" s="15">
        <f t="shared" si="5"/>
        <v>-7.1428571428571388</v>
      </c>
      <c r="Q32" s="175">
        <f t="shared" si="6"/>
        <v>0.95833333333333337</v>
      </c>
      <c r="R32" s="615"/>
      <c r="S32" s="34">
        <v>0.42847222222222214</v>
      </c>
      <c r="T32" s="34">
        <v>0.49097222222222214</v>
      </c>
      <c r="U32" s="176">
        <f t="shared" si="26"/>
        <v>7.9999999999999716</v>
      </c>
      <c r="V32" s="183">
        <f t="shared" si="25"/>
        <v>90</v>
      </c>
      <c r="W32" s="16">
        <f>T32</f>
        <v>0.49097222222222214</v>
      </c>
      <c r="X32" s="16">
        <f>S33</f>
        <v>0.52986111111111101</v>
      </c>
      <c r="Y32" s="16"/>
      <c r="Z32" s="16"/>
      <c r="AA32" s="617"/>
      <c r="AB32" s="617"/>
      <c r="AC32" s="35"/>
      <c r="AD32" s="18"/>
      <c r="AE32" s="14">
        <f t="shared" si="8"/>
        <v>-100</v>
      </c>
      <c r="AF32" s="175">
        <f t="shared" si="9"/>
        <v>0.95833333333333337</v>
      </c>
      <c r="AG32" s="615"/>
    </row>
    <row r="33" spans="1:33" ht="15.75" customHeight="1">
      <c r="A33" s="641" t="s">
        <v>10</v>
      </c>
      <c r="B33" s="29" t="s">
        <v>32</v>
      </c>
      <c r="C33" s="640" t="s">
        <v>33</v>
      </c>
      <c r="D33" s="640"/>
      <c r="E33" s="29">
        <v>31.29</v>
      </c>
      <c r="F33" s="184">
        <v>3272</v>
      </c>
      <c r="G33" s="176">
        <f t="shared" si="23"/>
        <v>102380.87999999999</v>
      </c>
      <c r="H33" s="33" t="s">
        <v>57</v>
      </c>
      <c r="I33" s="182">
        <v>18</v>
      </c>
      <c r="J33" s="31">
        <v>2400</v>
      </c>
      <c r="K33" s="12">
        <f t="shared" si="1"/>
        <v>133.33333333333334</v>
      </c>
      <c r="L33" s="182">
        <v>18</v>
      </c>
      <c r="M33" s="13">
        <f t="shared" si="24"/>
        <v>2309.6470588235288</v>
      </c>
      <c r="N33" s="12">
        <f t="shared" si="3"/>
        <v>128.31372549019605</v>
      </c>
      <c r="O33" s="14">
        <f t="shared" si="4"/>
        <v>0</v>
      </c>
      <c r="P33" s="15">
        <f t="shared" si="5"/>
        <v>-5.0196078431372939</v>
      </c>
      <c r="Q33" s="175">
        <f t="shared" si="6"/>
        <v>0.9623529411764703</v>
      </c>
      <c r="R33" s="615"/>
      <c r="S33" s="34">
        <v>0.52986111111111101</v>
      </c>
      <c r="T33" s="34">
        <v>0.5888888888888888</v>
      </c>
      <c r="U33" s="176">
        <f t="shared" si="26"/>
        <v>55.999999999999957</v>
      </c>
      <c r="V33" s="183">
        <f t="shared" si="25"/>
        <v>85.000000000000014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-90.352941176471177</v>
      </c>
      <c r="AF33" s="175">
        <f t="shared" si="9"/>
        <v>0.9623529411764703</v>
      </c>
      <c r="AG33" s="615"/>
    </row>
    <row r="34" spans="1:33" ht="15.75" customHeight="1">
      <c r="A34" s="641" t="s">
        <v>10</v>
      </c>
      <c r="B34" s="29" t="s">
        <v>6</v>
      </c>
      <c r="C34" s="618"/>
      <c r="D34" s="618"/>
      <c r="E34" s="177"/>
      <c r="F34" s="184"/>
      <c r="G34" s="176"/>
      <c r="H34" s="184"/>
      <c r="I34" s="23">
        <v>17.2</v>
      </c>
      <c r="J34" s="31">
        <v>2400</v>
      </c>
      <c r="K34" s="12">
        <f t="shared" si="1"/>
        <v>139.53488372093022</v>
      </c>
      <c r="L34" s="23">
        <v>17.2</v>
      </c>
      <c r="M34" s="13">
        <f>AVERAGE(M29:M33)</f>
        <v>2297.0714905344807</v>
      </c>
      <c r="N34" s="12">
        <f t="shared" si="3"/>
        <v>133.55066805433029</v>
      </c>
      <c r="O34" s="14">
        <f t="shared" si="4"/>
        <v>0</v>
      </c>
      <c r="P34" s="15">
        <f t="shared" si="5"/>
        <v>-5.9842156665999369</v>
      </c>
      <c r="Q34" s="175">
        <f t="shared" si="6"/>
        <v>0.95711312105603374</v>
      </c>
      <c r="R34" s="615"/>
      <c r="S34" s="34"/>
      <c r="T34" s="34"/>
      <c r="U34" s="176"/>
      <c r="V34" s="183"/>
      <c r="W34" s="176"/>
      <c r="X34" s="176"/>
      <c r="Y34" s="24">
        <f>SUM(Y29:Y33)</f>
        <v>0</v>
      </c>
      <c r="Z34" s="24">
        <f>SUM(Z29:Z33)</f>
        <v>0</v>
      </c>
      <c r="AA34" s="614"/>
      <c r="AB34" s="614"/>
      <c r="AC34" s="24">
        <v>5</v>
      </c>
      <c r="AD34" s="24">
        <f>SUM(AD29:AD33)</f>
        <v>0</v>
      </c>
      <c r="AE34" s="14">
        <f t="shared" si="8"/>
        <v>-102.92850946551926</v>
      </c>
      <c r="AF34" s="175">
        <f t="shared" si="9"/>
        <v>0.95711312105603363</v>
      </c>
      <c r="AG34" s="615"/>
    </row>
    <row r="35" spans="1:33" ht="15.75" customHeight="1">
      <c r="A35" s="638" t="s">
        <v>11</v>
      </c>
      <c r="B35" s="29" t="s">
        <v>32</v>
      </c>
      <c r="C35" s="616" t="s">
        <v>77</v>
      </c>
      <c r="D35" s="616"/>
      <c r="E35" s="29">
        <v>26.18</v>
      </c>
      <c r="F35" s="184">
        <v>5427</v>
      </c>
      <c r="G35" s="176">
        <f t="shared" ref="G35:G40" si="27">E35*F35</f>
        <v>142078.85999999999</v>
      </c>
      <c r="H35" s="33" t="s">
        <v>57</v>
      </c>
      <c r="I35" s="182">
        <v>20</v>
      </c>
      <c r="J35" s="31">
        <v>2400</v>
      </c>
      <c r="K35" s="12">
        <f t="shared" si="1"/>
        <v>120</v>
      </c>
      <c r="L35" s="182">
        <v>20</v>
      </c>
      <c r="M35" s="13">
        <f t="shared" ref="M35:M40" si="28">F35/V35*60</f>
        <v>2293.0985915492956</v>
      </c>
      <c r="N35" s="12">
        <f t="shared" si="3"/>
        <v>114.65492957746478</v>
      </c>
      <c r="O35" s="14">
        <f t="shared" si="4"/>
        <v>0</v>
      </c>
      <c r="P35" s="15">
        <f t="shared" si="5"/>
        <v>-5.3450704225352155</v>
      </c>
      <c r="Q35" s="175">
        <f t="shared" si="6"/>
        <v>0.95545774647887316</v>
      </c>
      <c r="R35" s="615">
        <f>Q41</f>
        <v>0.95559597227443238</v>
      </c>
      <c r="S35" s="34">
        <v>8.3333333333333329E-2</v>
      </c>
      <c r="T35" s="34">
        <v>0.18194444444444444</v>
      </c>
      <c r="U35" s="176"/>
      <c r="V35" s="183">
        <f t="shared" ref="V35:V40" si="29">(T35-S35)*24*60</f>
        <v>142</v>
      </c>
      <c r="W35" s="21">
        <f>T35</f>
        <v>0.18194444444444444</v>
      </c>
      <c r="X35" s="21">
        <f>S36</f>
        <v>0.19999999999999998</v>
      </c>
      <c r="Y35" s="21"/>
      <c r="Z35" s="21"/>
      <c r="AA35" s="617"/>
      <c r="AB35" s="617"/>
      <c r="AC35" s="35">
        <v>6</v>
      </c>
      <c r="AD35" s="18"/>
      <c r="AE35" s="14">
        <f t="shared" si="8"/>
        <v>-106.90140845070437</v>
      </c>
      <c r="AF35" s="175">
        <f t="shared" si="9"/>
        <v>0.95545774647887316</v>
      </c>
      <c r="AG35" s="615">
        <f>AF41</f>
        <v>0.95559597227443227</v>
      </c>
    </row>
    <row r="36" spans="1:33" ht="15.75" customHeight="1">
      <c r="A36" s="638" t="s">
        <v>11</v>
      </c>
      <c r="B36" s="29" t="s">
        <v>32</v>
      </c>
      <c r="C36" s="616" t="s">
        <v>37</v>
      </c>
      <c r="D36" s="616"/>
      <c r="E36" s="29">
        <v>24.43</v>
      </c>
      <c r="F36" s="184">
        <v>5786</v>
      </c>
      <c r="G36" s="176">
        <f t="shared" si="27"/>
        <v>141351.98000000001</v>
      </c>
      <c r="H36" s="33" t="s">
        <v>57</v>
      </c>
      <c r="I36" s="182">
        <v>14</v>
      </c>
      <c r="J36" s="31">
        <v>2400</v>
      </c>
      <c r="K36" s="12">
        <f t="shared" si="1"/>
        <v>171.42857142857142</v>
      </c>
      <c r="L36" s="182">
        <v>14</v>
      </c>
      <c r="M36" s="13">
        <f t="shared" si="28"/>
        <v>2299.0728476821191</v>
      </c>
      <c r="N36" s="12">
        <f t="shared" si="3"/>
        <v>164.21948912015137</v>
      </c>
      <c r="O36" s="14">
        <f t="shared" si="4"/>
        <v>0</v>
      </c>
      <c r="P36" s="15">
        <f t="shared" si="5"/>
        <v>-7.2090823084200508</v>
      </c>
      <c r="Q36" s="175">
        <f t="shared" si="6"/>
        <v>0.95794701986754971</v>
      </c>
      <c r="R36" s="615"/>
      <c r="S36" s="34">
        <v>0.19999999999999998</v>
      </c>
      <c r="T36" s="34">
        <v>0.30486111111111108</v>
      </c>
      <c r="U36" s="176">
        <f t="shared" ref="U36:U40" si="30">(S36-T35)*24*60</f>
        <v>25.999999999999986</v>
      </c>
      <c r="V36" s="183">
        <f t="shared" si="29"/>
        <v>151</v>
      </c>
      <c r="W36" s="176"/>
      <c r="X36" s="176"/>
      <c r="Y36" s="176"/>
      <c r="Z36" s="176"/>
      <c r="AA36" s="617"/>
      <c r="AB36" s="617"/>
      <c r="AC36" s="35"/>
      <c r="AD36" s="18"/>
      <c r="AE36" s="14">
        <f t="shared" si="8"/>
        <v>-100.92715231788088</v>
      </c>
      <c r="AF36" s="175">
        <f t="shared" si="9"/>
        <v>0.9579470198675496</v>
      </c>
      <c r="AG36" s="615"/>
    </row>
    <row r="37" spans="1:33">
      <c r="A37" s="639" t="s">
        <v>11</v>
      </c>
      <c r="B37" s="29" t="s">
        <v>32</v>
      </c>
      <c r="C37" s="616" t="s">
        <v>38</v>
      </c>
      <c r="D37" s="616"/>
      <c r="E37" s="29">
        <v>25.98</v>
      </c>
      <c r="F37" s="184">
        <v>2480</v>
      </c>
      <c r="G37" s="176">
        <f t="shared" si="27"/>
        <v>64430.400000000001</v>
      </c>
      <c r="H37" s="33" t="s">
        <v>57</v>
      </c>
      <c r="I37" s="182">
        <v>21</v>
      </c>
      <c r="J37" s="31">
        <v>2400</v>
      </c>
      <c r="K37" s="12">
        <f t="shared" si="1"/>
        <v>114.28571428571429</v>
      </c>
      <c r="L37" s="182">
        <v>21</v>
      </c>
      <c r="M37" s="13">
        <f t="shared" si="28"/>
        <v>2289.2307692307686</v>
      </c>
      <c r="N37" s="12">
        <f t="shared" si="3"/>
        <v>109.01098901098898</v>
      </c>
      <c r="O37" s="14">
        <f t="shared" si="4"/>
        <v>0</v>
      </c>
      <c r="P37" s="15">
        <f t="shared" si="5"/>
        <v>-5.2747252747253128</v>
      </c>
      <c r="Q37" s="175">
        <f t="shared" si="6"/>
        <v>0.95384615384615357</v>
      </c>
      <c r="R37" s="615"/>
      <c r="S37" s="34">
        <v>0.31041666666666662</v>
      </c>
      <c r="T37" s="34">
        <v>0.35555555555555551</v>
      </c>
      <c r="U37" s="176">
        <f t="shared" si="30"/>
        <v>7.9999999999999716</v>
      </c>
      <c r="V37" s="183">
        <f t="shared" si="29"/>
        <v>65.000000000000014</v>
      </c>
      <c r="W37" s="176"/>
      <c r="X37" s="176"/>
      <c r="Y37" s="176"/>
      <c r="Z37" s="176"/>
      <c r="AA37" s="617"/>
      <c r="AB37" s="617"/>
      <c r="AC37" s="35"/>
      <c r="AD37" s="18"/>
      <c r="AE37" s="14">
        <f t="shared" si="8"/>
        <v>-110.7692307692314</v>
      </c>
      <c r="AF37" s="175">
        <f t="shared" si="9"/>
        <v>0.95384615384615357</v>
      </c>
      <c r="AG37" s="615"/>
    </row>
    <row r="38" spans="1:33">
      <c r="A38" s="639" t="s">
        <v>11</v>
      </c>
      <c r="B38" s="29" t="s">
        <v>32</v>
      </c>
      <c r="C38" s="616" t="s">
        <v>79</v>
      </c>
      <c r="D38" s="616"/>
      <c r="E38" s="29">
        <v>25.99</v>
      </c>
      <c r="F38" s="184">
        <v>2222</v>
      </c>
      <c r="G38" s="176">
        <f t="shared" si="27"/>
        <v>57749.78</v>
      </c>
      <c r="H38" s="33" t="s">
        <v>57</v>
      </c>
      <c r="I38" s="182">
        <v>18</v>
      </c>
      <c r="J38" s="31">
        <v>2400</v>
      </c>
      <c r="K38" s="12">
        <f t="shared" si="1"/>
        <v>133.33333333333334</v>
      </c>
      <c r="L38" s="182">
        <v>18</v>
      </c>
      <c r="M38" s="13">
        <f t="shared" si="28"/>
        <v>2298.6206896551712</v>
      </c>
      <c r="N38" s="12">
        <f t="shared" si="3"/>
        <v>127.70114942528728</v>
      </c>
      <c r="O38" s="14">
        <f t="shared" si="4"/>
        <v>0</v>
      </c>
      <c r="P38" s="15">
        <f t="shared" si="5"/>
        <v>-5.6321839080460592</v>
      </c>
      <c r="Q38" s="175">
        <f t="shared" si="6"/>
        <v>0.95775862068965456</v>
      </c>
      <c r="R38" s="615"/>
      <c r="S38" s="34">
        <v>0.36041666666666661</v>
      </c>
      <c r="T38" s="34">
        <v>0.40069444444444441</v>
      </c>
      <c r="U38" s="176">
        <f t="shared" si="30"/>
        <v>6.9999999999999751</v>
      </c>
      <c r="V38" s="183">
        <f t="shared" si="29"/>
        <v>58.000000000000036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-101.37931034482881</v>
      </c>
      <c r="AF38" s="175">
        <f t="shared" si="9"/>
        <v>0.95775862068965467</v>
      </c>
      <c r="AG38" s="615"/>
    </row>
    <row r="39" spans="1:33">
      <c r="A39" s="639" t="s">
        <v>11</v>
      </c>
      <c r="B39" s="29" t="s">
        <v>32</v>
      </c>
      <c r="C39" s="616" t="s">
        <v>39</v>
      </c>
      <c r="D39" s="616"/>
      <c r="E39" s="29">
        <v>34.1</v>
      </c>
      <c r="F39" s="184">
        <v>3000</v>
      </c>
      <c r="G39" s="176">
        <f t="shared" si="27"/>
        <v>102300</v>
      </c>
      <c r="H39" s="33">
        <v>2</v>
      </c>
      <c r="I39" s="182">
        <v>17</v>
      </c>
      <c r="J39" s="31">
        <v>1600</v>
      </c>
      <c r="K39" s="12">
        <f t="shared" si="1"/>
        <v>94.117647058823536</v>
      </c>
      <c r="L39" s="182">
        <v>17</v>
      </c>
      <c r="M39" s="13">
        <f t="shared" si="28"/>
        <v>1525.4237288135596</v>
      </c>
      <c r="N39" s="12">
        <f t="shared" si="3"/>
        <v>89.730807577268209</v>
      </c>
      <c r="O39" s="14">
        <f t="shared" si="4"/>
        <v>0</v>
      </c>
      <c r="P39" s="15">
        <f t="shared" si="5"/>
        <v>-4.3868394815553273</v>
      </c>
      <c r="Q39" s="175">
        <f t="shared" si="6"/>
        <v>0.9533898305084747</v>
      </c>
      <c r="R39" s="615"/>
      <c r="S39" s="34">
        <v>0.40624999999999994</v>
      </c>
      <c r="T39" s="34">
        <v>0.48819444444444438</v>
      </c>
      <c r="U39" s="176">
        <f t="shared" si="30"/>
        <v>7.9999999999999716</v>
      </c>
      <c r="V39" s="183">
        <f t="shared" si="29"/>
        <v>117.99999999999999</v>
      </c>
      <c r="W39" s="16">
        <f>T39</f>
        <v>0.48819444444444438</v>
      </c>
      <c r="X39" s="16">
        <f>S40</f>
        <v>0.52916666666666656</v>
      </c>
      <c r="Y39" s="16"/>
      <c r="Z39" s="16"/>
      <c r="AA39" s="617"/>
      <c r="AB39" s="617"/>
      <c r="AC39" s="35"/>
      <c r="AD39" s="18"/>
      <c r="AE39" s="14">
        <f t="shared" si="8"/>
        <v>-74.576271186440408</v>
      </c>
      <c r="AF39" s="175">
        <f t="shared" si="9"/>
        <v>0.9533898305084747</v>
      </c>
      <c r="AG39" s="615"/>
    </row>
    <row r="40" spans="1:33">
      <c r="A40" s="639" t="s">
        <v>11</v>
      </c>
      <c r="B40" s="29" t="s">
        <v>32</v>
      </c>
      <c r="C40" s="616" t="s">
        <v>39</v>
      </c>
      <c r="D40" s="616"/>
      <c r="E40" s="29">
        <v>34.1</v>
      </c>
      <c r="F40" s="184">
        <v>2798</v>
      </c>
      <c r="G40" s="176">
        <f t="shared" si="27"/>
        <v>95411.8</v>
      </c>
      <c r="H40" s="33" t="s">
        <v>57</v>
      </c>
      <c r="I40" s="182">
        <v>17</v>
      </c>
      <c r="J40" s="31">
        <v>1600</v>
      </c>
      <c r="K40" s="12">
        <f t="shared" si="1"/>
        <v>94.117647058823536</v>
      </c>
      <c r="L40" s="182">
        <v>17</v>
      </c>
      <c r="M40" s="13">
        <f t="shared" si="28"/>
        <v>1526.1818181818192</v>
      </c>
      <c r="N40" s="12">
        <f t="shared" si="3"/>
        <v>89.775401069518779</v>
      </c>
      <c r="O40" s="14">
        <f t="shared" si="4"/>
        <v>0</v>
      </c>
      <c r="P40" s="15">
        <f t="shared" si="5"/>
        <v>-4.3422459893047574</v>
      </c>
      <c r="Q40" s="175">
        <f t="shared" si="6"/>
        <v>0.95386363636363691</v>
      </c>
      <c r="R40" s="615"/>
      <c r="S40" s="34">
        <v>0.52916666666666656</v>
      </c>
      <c r="T40" s="34">
        <v>0.6055555555555554</v>
      </c>
      <c r="U40" s="176">
        <f t="shared" si="30"/>
        <v>58.99999999999995</v>
      </c>
      <c r="V40" s="183">
        <f t="shared" si="29"/>
        <v>109.99999999999993</v>
      </c>
      <c r="W40" s="16"/>
      <c r="X40" s="16"/>
      <c r="Y40" s="16"/>
      <c r="Z40" s="16"/>
      <c r="AA40" s="617"/>
      <c r="AB40" s="617"/>
      <c r="AC40" s="35"/>
      <c r="AD40" s="18"/>
      <c r="AE40" s="14">
        <f t="shared" si="8"/>
        <v>-73.818181818180847</v>
      </c>
      <c r="AF40" s="175">
        <f t="shared" si="9"/>
        <v>0.95386363636363702</v>
      </c>
      <c r="AG40" s="615"/>
    </row>
    <row r="41" spans="1:33">
      <c r="A41" s="639" t="s">
        <v>11</v>
      </c>
      <c r="B41" s="30" t="s">
        <v>6</v>
      </c>
      <c r="C41" s="618"/>
      <c r="D41" s="618"/>
      <c r="E41" s="177"/>
      <c r="F41" s="30"/>
      <c r="G41" s="12"/>
      <c r="H41" s="184"/>
      <c r="I41" s="23">
        <v>17.833333333333332</v>
      </c>
      <c r="J41" s="31">
        <v>2133.3333333333335</v>
      </c>
      <c r="K41" s="12">
        <f t="shared" si="1"/>
        <v>119.62616822429908</v>
      </c>
      <c r="L41" s="23">
        <v>17.833333333333332</v>
      </c>
      <c r="M41" s="13">
        <f>AVERAGE(M35:M40)</f>
        <v>2038.6047408521224</v>
      </c>
      <c r="N41" s="12">
        <f t="shared" si="3"/>
        <v>114.31428453376388</v>
      </c>
      <c r="O41" s="14">
        <f t="shared" si="4"/>
        <v>0</v>
      </c>
      <c r="P41" s="15">
        <f t="shared" si="5"/>
        <v>-5.3118836905351969</v>
      </c>
      <c r="Q41" s="175">
        <f t="shared" si="6"/>
        <v>0.95559597227443238</v>
      </c>
      <c r="R41" s="615"/>
      <c r="S41" s="34"/>
      <c r="T41" s="34"/>
      <c r="U41" s="12"/>
      <c r="V41" s="183"/>
      <c r="W41" s="12"/>
      <c r="X41" s="12"/>
      <c r="Y41" s="24">
        <f>SUM(Y35:Y40)</f>
        <v>0</v>
      </c>
      <c r="Z41" s="24">
        <f>SUM(Z35:Z40)</f>
        <v>0</v>
      </c>
      <c r="AA41" s="614"/>
      <c r="AB41" s="614"/>
      <c r="AC41" s="24">
        <v>6</v>
      </c>
      <c r="AD41" s="24">
        <f>SUM(AD35:AD40)</f>
        <v>0</v>
      </c>
      <c r="AE41" s="14">
        <f t="shared" si="8"/>
        <v>-94.728592481211081</v>
      </c>
      <c r="AF41" s="175">
        <f t="shared" si="9"/>
        <v>0.95559597227443227</v>
      </c>
      <c r="AG41" s="615"/>
    </row>
    <row r="42" spans="1:33" ht="15.75" customHeight="1">
      <c r="A42" s="632" t="s">
        <v>12</v>
      </c>
      <c r="B42" s="29" t="s">
        <v>40</v>
      </c>
      <c r="C42" s="622" t="s">
        <v>41</v>
      </c>
      <c r="D42" s="623"/>
      <c r="E42" s="29">
        <v>37.880000000000003</v>
      </c>
      <c r="F42" s="184">
        <v>1005</v>
      </c>
      <c r="G42" s="176">
        <f t="shared" ref="G42:G45" si="31">E42*F42</f>
        <v>38069.4</v>
      </c>
      <c r="H42" s="33" t="s">
        <v>57</v>
      </c>
      <c r="I42" s="182">
        <v>13</v>
      </c>
      <c r="J42" s="31">
        <v>2000</v>
      </c>
      <c r="K42" s="12">
        <f t="shared" si="1"/>
        <v>153.84615384615384</v>
      </c>
      <c r="L42" s="182">
        <v>13</v>
      </c>
      <c r="M42" s="13">
        <f t="shared" ref="M42:M45" si="32">F42/V42*60</f>
        <v>1945.16129032258</v>
      </c>
      <c r="N42" s="13">
        <f t="shared" si="3"/>
        <v>149.62779156327539</v>
      </c>
      <c r="O42" s="14">
        <f t="shared" si="4"/>
        <v>0</v>
      </c>
      <c r="P42" s="15">
        <f t="shared" si="5"/>
        <v>-4.2183622828784451</v>
      </c>
      <c r="Q42" s="175">
        <f t="shared" si="6"/>
        <v>0.97258064516129006</v>
      </c>
      <c r="R42" s="635">
        <f>Q46</f>
        <v>0.96051318096399263</v>
      </c>
      <c r="S42" s="34">
        <v>8.3333333333333329E-2</v>
      </c>
      <c r="T42" s="34">
        <v>0.10486111111111111</v>
      </c>
      <c r="U42" s="21"/>
      <c r="V42" s="183">
        <f t="shared" ref="V42:V45" si="33">(T42-S42)*24*60</f>
        <v>31.000000000000011</v>
      </c>
      <c r="W42" s="16">
        <f>T42</f>
        <v>0.10486111111111111</v>
      </c>
      <c r="X42" s="16">
        <f>S43</f>
        <v>0.12569444444444444</v>
      </c>
      <c r="Y42" s="19"/>
      <c r="Z42" s="19"/>
      <c r="AA42" s="624"/>
      <c r="AB42" s="625"/>
      <c r="AC42" s="35">
        <v>4</v>
      </c>
      <c r="AD42" s="18"/>
      <c r="AE42" s="14">
        <f t="shared" si="8"/>
        <v>-54.838709677419956</v>
      </c>
      <c r="AF42" s="175">
        <f t="shared" si="9"/>
        <v>0.97258064516129006</v>
      </c>
      <c r="AG42" s="635">
        <f>AF46</f>
        <v>0.96051318096399274</v>
      </c>
    </row>
    <row r="43" spans="1:33" ht="15.75" customHeight="1">
      <c r="A43" s="633" t="s">
        <v>12</v>
      </c>
      <c r="B43" s="29" t="s">
        <v>40</v>
      </c>
      <c r="C43" s="622" t="s">
        <v>42</v>
      </c>
      <c r="D43" s="623"/>
      <c r="E43" s="29">
        <v>35.119999999999997</v>
      </c>
      <c r="F43" s="184">
        <v>5081</v>
      </c>
      <c r="G43" s="176">
        <f t="shared" si="31"/>
        <v>178444.72</v>
      </c>
      <c r="H43" s="33" t="s">
        <v>57</v>
      </c>
      <c r="I43" s="182">
        <v>10</v>
      </c>
      <c r="J43" s="31">
        <v>3000</v>
      </c>
      <c r="K43" s="12">
        <f t="shared" si="1"/>
        <v>300</v>
      </c>
      <c r="L43" s="182">
        <v>10</v>
      </c>
      <c r="M43" s="13">
        <f t="shared" si="32"/>
        <v>2876.0377358490555</v>
      </c>
      <c r="N43" s="13">
        <f t="shared" si="3"/>
        <v>287.60377358490553</v>
      </c>
      <c r="O43" s="14">
        <f t="shared" si="4"/>
        <v>0</v>
      </c>
      <c r="P43" s="15">
        <f t="shared" si="5"/>
        <v>-12.396226415094475</v>
      </c>
      <c r="Q43" s="175">
        <f t="shared" si="6"/>
        <v>0.9586792452830184</v>
      </c>
      <c r="R43" s="636"/>
      <c r="S43" s="34">
        <v>0.12569444444444444</v>
      </c>
      <c r="T43" s="34">
        <v>0.19930555555555557</v>
      </c>
      <c r="U43" s="176">
        <f t="shared" ref="U43:U45" si="34">(S43-T42)*24*60</f>
        <v>29.999999999999993</v>
      </c>
      <c r="V43" s="183">
        <f t="shared" si="33"/>
        <v>106.00000000000003</v>
      </c>
      <c r="W43" s="16"/>
      <c r="X43" s="16"/>
      <c r="Y43" s="19"/>
      <c r="Z43" s="19"/>
      <c r="AA43" s="624"/>
      <c r="AB43" s="625"/>
      <c r="AC43" s="35"/>
      <c r="AD43" s="18"/>
      <c r="AE43" s="14">
        <f t="shared" si="8"/>
        <v>-123.96226415094452</v>
      </c>
      <c r="AF43" s="175">
        <f t="shared" si="9"/>
        <v>0.95867924528301851</v>
      </c>
      <c r="AG43" s="636"/>
    </row>
    <row r="44" spans="1:33" ht="15.75" customHeight="1">
      <c r="A44" s="633" t="s">
        <v>12</v>
      </c>
      <c r="B44" s="29" t="s">
        <v>40</v>
      </c>
      <c r="C44" s="622" t="s">
        <v>43</v>
      </c>
      <c r="D44" s="623"/>
      <c r="E44" s="29">
        <v>21.13</v>
      </c>
      <c r="F44" s="184">
        <v>4883</v>
      </c>
      <c r="G44" s="176">
        <f t="shared" si="31"/>
        <v>103177.79</v>
      </c>
      <c r="H44" s="33" t="s">
        <v>57</v>
      </c>
      <c r="I44" s="182">
        <v>10</v>
      </c>
      <c r="J44" s="31">
        <v>3000</v>
      </c>
      <c r="K44" s="12">
        <f t="shared" si="1"/>
        <v>300</v>
      </c>
      <c r="L44" s="182">
        <v>10</v>
      </c>
      <c r="M44" s="13">
        <f t="shared" si="32"/>
        <v>2872.3529411764707</v>
      </c>
      <c r="N44" s="13">
        <f t="shared" si="3"/>
        <v>287.23529411764707</v>
      </c>
      <c r="O44" s="14">
        <f t="shared" si="4"/>
        <v>0</v>
      </c>
      <c r="P44" s="15">
        <f t="shared" si="5"/>
        <v>-12.764705882352928</v>
      </c>
      <c r="Q44" s="175">
        <f t="shared" si="6"/>
        <v>0.95745098039215693</v>
      </c>
      <c r="R44" s="636"/>
      <c r="S44" s="34">
        <v>0.20347222222222225</v>
      </c>
      <c r="T44" s="34">
        <v>0.27430555555555558</v>
      </c>
      <c r="U44" s="176">
        <f t="shared" si="34"/>
        <v>6.0000000000000187</v>
      </c>
      <c r="V44" s="183">
        <f t="shared" si="33"/>
        <v>102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-127.64705882352928</v>
      </c>
      <c r="AF44" s="175">
        <f t="shared" si="9"/>
        <v>0.95745098039215693</v>
      </c>
      <c r="AG44" s="636"/>
    </row>
    <row r="45" spans="1:33" ht="15.75" customHeight="1">
      <c r="A45" s="633" t="s">
        <v>12</v>
      </c>
      <c r="B45" s="29" t="s">
        <v>40</v>
      </c>
      <c r="C45" s="622" t="s">
        <v>44</v>
      </c>
      <c r="D45" s="623"/>
      <c r="E45" s="29">
        <v>27.17</v>
      </c>
      <c r="F45" s="184">
        <v>6175</v>
      </c>
      <c r="G45" s="176">
        <f t="shared" si="31"/>
        <v>167774.75</v>
      </c>
      <c r="H45" s="33" t="s">
        <v>57</v>
      </c>
      <c r="I45" s="182">
        <v>10</v>
      </c>
      <c r="J45" s="31">
        <v>3000</v>
      </c>
      <c r="K45" s="12">
        <f t="shared" si="1"/>
        <v>300</v>
      </c>
      <c r="L45" s="182">
        <v>10</v>
      </c>
      <c r="M45" s="13">
        <f t="shared" si="32"/>
        <v>2872.093023255813</v>
      </c>
      <c r="N45" s="13">
        <f t="shared" si="3"/>
        <v>287.20930232558129</v>
      </c>
      <c r="O45" s="14">
        <f t="shared" si="4"/>
        <v>0</v>
      </c>
      <c r="P45" s="15">
        <f t="shared" si="5"/>
        <v>-12.790697674418709</v>
      </c>
      <c r="Q45" s="175">
        <f t="shared" si="6"/>
        <v>0.95736434108527102</v>
      </c>
      <c r="R45" s="636"/>
      <c r="S45" s="34">
        <v>0.27777777777777779</v>
      </c>
      <c r="T45" s="34">
        <v>0.36736111111111114</v>
      </c>
      <c r="U45" s="176">
        <f t="shared" si="34"/>
        <v>4.9999999999999822</v>
      </c>
      <c r="V45" s="183">
        <f t="shared" si="33"/>
        <v>129.00000000000003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-127.90697674418698</v>
      </c>
      <c r="AF45" s="175">
        <f t="shared" si="9"/>
        <v>0.95736434108527102</v>
      </c>
      <c r="AG45" s="636"/>
    </row>
    <row r="46" spans="1:33" ht="15.75" customHeight="1">
      <c r="A46" s="634" t="s">
        <v>12</v>
      </c>
      <c r="B46" s="29" t="s">
        <v>6</v>
      </c>
      <c r="C46" s="612"/>
      <c r="D46" s="613"/>
      <c r="E46" s="173"/>
      <c r="F46" s="184"/>
      <c r="G46" s="176"/>
      <c r="H46" s="184"/>
      <c r="I46" s="23">
        <v>10.75</v>
      </c>
      <c r="J46" s="31">
        <v>2750</v>
      </c>
      <c r="K46" s="12">
        <f t="shared" si="1"/>
        <v>255.81395348837211</v>
      </c>
      <c r="L46" s="23">
        <v>10.75</v>
      </c>
      <c r="M46" s="13">
        <f>AVERAGE(M42:M45)</f>
        <v>2641.4112476509799</v>
      </c>
      <c r="N46" s="12">
        <f t="shared" si="3"/>
        <v>245.71267420009116</v>
      </c>
      <c r="O46" s="14">
        <f t="shared" si="4"/>
        <v>0</v>
      </c>
      <c r="P46" s="15">
        <f t="shared" si="5"/>
        <v>-10.101279288280949</v>
      </c>
      <c r="Q46" s="175">
        <f t="shared" si="6"/>
        <v>0.96051318096399263</v>
      </c>
      <c r="R46" s="637"/>
      <c r="S46" s="34"/>
      <c r="T46" s="34"/>
      <c r="U46" s="176"/>
      <c r="V46" s="183"/>
      <c r="W46" s="16"/>
      <c r="X46" s="16"/>
      <c r="Y46" s="24">
        <f>SUM(Y42:Y45)</f>
        <v>0</v>
      </c>
      <c r="Z46" s="24">
        <f>SUM(Z42:Z45)</f>
        <v>0</v>
      </c>
      <c r="AA46" s="628"/>
      <c r="AB46" s="629"/>
      <c r="AC46" s="24">
        <v>4</v>
      </c>
      <c r="AD46" s="24">
        <f>SUM(AD42:AD45)</f>
        <v>0</v>
      </c>
      <c r="AE46" s="14">
        <f t="shared" si="8"/>
        <v>-108.58875234902007</v>
      </c>
      <c r="AF46" s="175">
        <f t="shared" si="9"/>
        <v>0.96051318096399274</v>
      </c>
      <c r="AG46" s="637"/>
    </row>
    <row r="47" spans="1:33" ht="15.75" customHeight="1">
      <c r="A47" s="630" t="s">
        <v>13</v>
      </c>
      <c r="B47" s="29" t="s">
        <v>19</v>
      </c>
      <c r="C47" s="616" t="s">
        <v>45</v>
      </c>
      <c r="D47" s="616"/>
      <c r="E47" s="29">
        <v>46</v>
      </c>
      <c r="F47" s="32">
        <v>2461</v>
      </c>
      <c r="G47" s="176">
        <f t="shared" ref="G47:G53" si="35">E47*F47</f>
        <v>113206</v>
      </c>
      <c r="H47" s="33" t="s">
        <v>57</v>
      </c>
      <c r="I47" s="182">
        <v>16</v>
      </c>
      <c r="J47" s="31">
        <v>2000</v>
      </c>
      <c r="K47" s="12">
        <f t="shared" si="1"/>
        <v>125</v>
      </c>
      <c r="L47" s="182">
        <v>16</v>
      </c>
      <c r="M47" s="13">
        <f t="shared" ref="M47" si="36">F47/V47*60</f>
        <v>1917.6623376623377</v>
      </c>
      <c r="N47" s="13">
        <f t="shared" si="3"/>
        <v>119.8538961038961</v>
      </c>
      <c r="O47" s="14">
        <f t="shared" si="4"/>
        <v>0</v>
      </c>
      <c r="P47" s="15">
        <f t="shared" si="5"/>
        <v>-5.1461038961038952</v>
      </c>
      <c r="Q47" s="175">
        <f t="shared" si="6"/>
        <v>0.95883116883116881</v>
      </c>
      <c r="R47" s="615">
        <f>Q54</f>
        <v>0.95949645950491869</v>
      </c>
      <c r="S47" s="34">
        <v>0.20833333333333334</v>
      </c>
      <c r="T47" s="34">
        <v>0.26180555555555557</v>
      </c>
      <c r="U47" s="21"/>
      <c r="V47" s="183">
        <f t="shared" ref="V47:V53" si="37">(T47-S47)*24*60</f>
        <v>77</v>
      </c>
      <c r="W47" s="21"/>
      <c r="X47" s="21"/>
      <c r="Y47" s="21"/>
      <c r="Z47" s="21"/>
      <c r="AA47" s="617"/>
      <c r="AB47" s="617"/>
      <c r="AC47" s="35">
        <v>7</v>
      </c>
      <c r="AD47" s="18"/>
      <c r="AE47" s="14">
        <f t="shared" si="8"/>
        <v>-82.337662337662323</v>
      </c>
      <c r="AF47" s="175">
        <f t="shared" si="9"/>
        <v>0.95883116883116881</v>
      </c>
      <c r="AG47" s="615">
        <f>AF54</f>
        <v>0.95949645950491858</v>
      </c>
    </row>
    <row r="48" spans="1:33" ht="15.75" customHeight="1">
      <c r="A48" s="630" t="s">
        <v>13</v>
      </c>
      <c r="B48" s="29" t="s">
        <v>19</v>
      </c>
      <c r="C48" s="616" t="s">
        <v>81</v>
      </c>
      <c r="D48" s="616"/>
      <c r="E48" s="29">
        <v>46</v>
      </c>
      <c r="F48" s="32">
        <v>3468</v>
      </c>
      <c r="G48" s="176">
        <f t="shared" si="35"/>
        <v>159528</v>
      </c>
      <c r="H48" s="33" t="s">
        <v>57</v>
      </c>
      <c r="I48" s="182">
        <v>16</v>
      </c>
      <c r="J48" s="31">
        <v>2000</v>
      </c>
      <c r="K48" s="12">
        <f t="shared" si="1"/>
        <v>125</v>
      </c>
      <c r="L48" s="182">
        <v>16</v>
      </c>
      <c r="M48" s="13">
        <f>F48/V48*60</f>
        <v>1908.9908256880731</v>
      </c>
      <c r="N48" s="13">
        <f t="shared" si="3"/>
        <v>119.31192660550457</v>
      </c>
      <c r="O48" s="14">
        <f t="shared" si="4"/>
        <v>0</v>
      </c>
      <c r="P48" s="15">
        <f t="shared" si="5"/>
        <v>-5.6880733944954329</v>
      </c>
      <c r="Q48" s="175">
        <f t="shared" si="6"/>
        <v>0.95449541284403649</v>
      </c>
      <c r="R48" s="615"/>
      <c r="S48" s="34">
        <v>0.2673611111111111</v>
      </c>
      <c r="T48" s="34">
        <v>0.34305555555555556</v>
      </c>
      <c r="U48" s="176">
        <f t="shared" ref="U48:U53" si="38">IF(S48=TIME(17,0,0),"",(S48-T47)*24*60)</f>
        <v>7.9999999999999716</v>
      </c>
      <c r="V48" s="183">
        <f t="shared" si="37"/>
        <v>109.00000000000001</v>
      </c>
      <c r="W48" s="16"/>
      <c r="X48" s="16"/>
      <c r="Y48" s="16"/>
      <c r="Z48" s="16"/>
      <c r="AA48" s="617"/>
      <c r="AB48" s="617"/>
      <c r="AC48" s="35"/>
      <c r="AD48" s="18"/>
      <c r="AE48" s="14">
        <f t="shared" si="8"/>
        <v>-91.009174311926927</v>
      </c>
      <c r="AF48" s="175">
        <f t="shared" si="9"/>
        <v>0.95449541284403649</v>
      </c>
      <c r="AG48" s="615"/>
    </row>
    <row r="49" spans="1:33" ht="15.75" customHeight="1">
      <c r="A49" s="630" t="s">
        <v>13</v>
      </c>
      <c r="B49" s="29" t="s">
        <v>15</v>
      </c>
      <c r="C49" s="622" t="s">
        <v>47</v>
      </c>
      <c r="D49" s="623"/>
      <c r="E49" s="29">
        <v>51.75</v>
      </c>
      <c r="F49" s="32">
        <v>799</v>
      </c>
      <c r="G49" s="176">
        <f t="shared" si="35"/>
        <v>41348.25</v>
      </c>
      <c r="H49" s="33" t="s">
        <v>57</v>
      </c>
      <c r="I49" s="182">
        <v>25</v>
      </c>
      <c r="J49" s="31">
        <v>2000</v>
      </c>
      <c r="K49" s="12">
        <f t="shared" si="1"/>
        <v>80</v>
      </c>
      <c r="L49" s="182">
        <v>25</v>
      </c>
      <c r="M49" s="13">
        <f t="shared" ref="M49:M53" si="39">F49/V49*60</f>
        <v>1917.6000000000004</v>
      </c>
      <c r="N49" s="13">
        <f t="shared" si="3"/>
        <v>76.704000000000008</v>
      </c>
      <c r="O49" s="14">
        <f t="shared" si="4"/>
        <v>0</v>
      </c>
      <c r="P49" s="15">
        <f t="shared" si="5"/>
        <v>-3.2959999999999923</v>
      </c>
      <c r="Q49" s="175">
        <f t="shared" si="6"/>
        <v>0.9588000000000001</v>
      </c>
      <c r="R49" s="615"/>
      <c r="S49" s="34">
        <v>0.34791666666666665</v>
      </c>
      <c r="T49" s="34">
        <v>0.36527777777777776</v>
      </c>
      <c r="U49" s="176">
        <f t="shared" si="38"/>
        <v>6.9999999999999751</v>
      </c>
      <c r="V49" s="183">
        <f t="shared" si="37"/>
        <v>24.999999999999993</v>
      </c>
      <c r="W49" s="16"/>
      <c r="X49" s="16"/>
      <c r="Y49" s="19"/>
      <c r="Z49" s="19"/>
      <c r="AA49" s="617"/>
      <c r="AB49" s="617"/>
      <c r="AC49" s="35"/>
      <c r="AD49" s="18"/>
      <c r="AE49" s="14">
        <f t="shared" si="8"/>
        <v>-82.399999999999636</v>
      </c>
      <c r="AF49" s="175">
        <f t="shared" si="9"/>
        <v>0.95880000000000021</v>
      </c>
      <c r="AG49" s="615"/>
    </row>
    <row r="50" spans="1:33" ht="15.75" customHeight="1">
      <c r="A50" s="630" t="s">
        <v>13</v>
      </c>
      <c r="B50" s="29" t="s">
        <v>15</v>
      </c>
      <c r="C50" s="178" t="s">
        <v>46</v>
      </c>
      <c r="D50" s="179"/>
      <c r="E50" s="29">
        <v>56.43</v>
      </c>
      <c r="F50" s="32">
        <v>1361</v>
      </c>
      <c r="G50" s="176">
        <f t="shared" si="35"/>
        <v>76801.23</v>
      </c>
      <c r="H50" s="33" t="s">
        <v>57</v>
      </c>
      <c r="I50" s="182">
        <v>22</v>
      </c>
      <c r="J50" s="31">
        <v>2000</v>
      </c>
      <c r="K50" s="12">
        <f t="shared" si="1"/>
        <v>90.909090909090907</v>
      </c>
      <c r="L50" s="182">
        <v>22</v>
      </c>
      <c r="M50" s="13">
        <f t="shared" si="39"/>
        <v>1944.2857142857135</v>
      </c>
      <c r="N50" s="13">
        <f t="shared" si="3"/>
        <v>88.376623376623343</v>
      </c>
      <c r="O50" s="14">
        <f t="shared" si="4"/>
        <v>0</v>
      </c>
      <c r="P50" s="15">
        <f t="shared" si="5"/>
        <v>-2.5324675324675638</v>
      </c>
      <c r="Q50" s="175">
        <f t="shared" si="6"/>
        <v>0.97214285714285675</v>
      </c>
      <c r="R50" s="615"/>
      <c r="S50" s="34">
        <v>0.37083333333333329</v>
      </c>
      <c r="T50" s="34">
        <v>0.39999999999999997</v>
      </c>
      <c r="U50" s="176">
        <f t="shared" si="38"/>
        <v>7.9999999999999716</v>
      </c>
      <c r="V50" s="183">
        <f t="shared" si="37"/>
        <v>42.000000000000014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-55.714285714286461</v>
      </c>
      <c r="AF50" s="175">
        <f t="shared" si="9"/>
        <v>0.97214285714285675</v>
      </c>
      <c r="AG50" s="615"/>
    </row>
    <row r="51" spans="1:33" ht="15.75" customHeight="1">
      <c r="A51" s="630" t="s">
        <v>13</v>
      </c>
      <c r="B51" s="29" t="s">
        <v>15</v>
      </c>
      <c r="C51" s="178" t="s">
        <v>27</v>
      </c>
      <c r="D51" s="179"/>
      <c r="E51" s="29">
        <v>59.04</v>
      </c>
      <c r="F51" s="32">
        <v>2842</v>
      </c>
      <c r="G51" s="176">
        <f t="shared" si="35"/>
        <v>167791.68</v>
      </c>
      <c r="H51" s="33" t="s">
        <v>57</v>
      </c>
      <c r="I51" s="182">
        <v>19</v>
      </c>
      <c r="J51" s="31">
        <v>2000</v>
      </c>
      <c r="K51" s="12">
        <f t="shared" si="1"/>
        <v>105.26315789473684</v>
      </c>
      <c r="L51" s="182">
        <v>19</v>
      </c>
      <c r="M51" s="13">
        <f t="shared" si="39"/>
        <v>1915.9550561797753</v>
      </c>
      <c r="N51" s="13">
        <f t="shared" si="3"/>
        <v>100.83973979893554</v>
      </c>
      <c r="O51" s="14">
        <f t="shared" si="4"/>
        <v>0</v>
      </c>
      <c r="P51" s="15">
        <f t="shared" si="5"/>
        <v>-4.4234180958012956</v>
      </c>
      <c r="Q51" s="175">
        <f t="shared" si="6"/>
        <v>0.95797752808988768</v>
      </c>
      <c r="R51" s="615"/>
      <c r="S51" s="34">
        <v>0.4055555555555555</v>
      </c>
      <c r="T51" s="34">
        <v>0.46736111111111106</v>
      </c>
      <c r="U51" s="176">
        <f t="shared" si="38"/>
        <v>7.9999999999999716</v>
      </c>
      <c r="V51" s="183">
        <f t="shared" si="37"/>
        <v>89</v>
      </c>
      <c r="W51" s="16"/>
      <c r="X51" s="16"/>
      <c r="Y51" s="19"/>
      <c r="Z51" s="19"/>
      <c r="AA51" s="617"/>
      <c r="AB51" s="617"/>
      <c r="AC51" s="35"/>
      <c r="AD51" s="18"/>
      <c r="AE51" s="14">
        <f t="shared" si="8"/>
        <v>-84.044943820224717</v>
      </c>
      <c r="AF51" s="175">
        <f t="shared" si="9"/>
        <v>0.95797752808988768</v>
      </c>
      <c r="AG51" s="615"/>
    </row>
    <row r="52" spans="1:33" ht="15.75" customHeight="1">
      <c r="A52" s="630" t="s">
        <v>13</v>
      </c>
      <c r="B52" s="29" t="s">
        <v>15</v>
      </c>
      <c r="C52" s="622" t="s">
        <v>48</v>
      </c>
      <c r="D52" s="623"/>
      <c r="E52" s="29">
        <v>55.56</v>
      </c>
      <c r="F52" s="32">
        <v>2456</v>
      </c>
      <c r="G52" s="176">
        <f t="shared" si="35"/>
        <v>136455.36000000002</v>
      </c>
      <c r="H52" s="33" t="s">
        <v>57</v>
      </c>
      <c r="I52" s="182">
        <v>17</v>
      </c>
      <c r="J52" s="31">
        <v>2000</v>
      </c>
      <c r="K52" s="12">
        <f t="shared" si="1"/>
        <v>117.64705882352941</v>
      </c>
      <c r="L52" s="182">
        <v>17</v>
      </c>
      <c r="M52" s="13">
        <f t="shared" si="39"/>
        <v>1913.7662337662327</v>
      </c>
      <c r="N52" s="13">
        <f t="shared" si="3"/>
        <v>112.57448433919016</v>
      </c>
      <c r="O52" s="14">
        <f t="shared" si="4"/>
        <v>0</v>
      </c>
      <c r="P52" s="15">
        <f t="shared" si="5"/>
        <v>-5.072574484339242</v>
      </c>
      <c r="Q52" s="175">
        <f t="shared" si="6"/>
        <v>0.95688311688311645</v>
      </c>
      <c r="R52" s="615"/>
      <c r="S52" s="34">
        <v>0.70833333333333337</v>
      </c>
      <c r="T52" s="34">
        <v>0.76180555555555562</v>
      </c>
      <c r="U52" s="176" t="str">
        <f t="shared" si="38"/>
        <v/>
      </c>
      <c r="V52" s="183">
        <f t="shared" si="37"/>
        <v>77.000000000000043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-86.233766233767255</v>
      </c>
      <c r="AF52" s="175">
        <f t="shared" si="9"/>
        <v>0.95688311688311634</v>
      </c>
      <c r="AG52" s="615"/>
    </row>
    <row r="53" spans="1:33" ht="15.75" customHeight="1">
      <c r="A53" s="630" t="s">
        <v>13</v>
      </c>
      <c r="B53" s="29" t="s">
        <v>15</v>
      </c>
      <c r="C53" s="622" t="s">
        <v>82</v>
      </c>
      <c r="D53" s="623"/>
      <c r="E53" s="29">
        <v>51.06</v>
      </c>
      <c r="F53" s="32">
        <v>3606</v>
      </c>
      <c r="G53" s="176">
        <f t="shared" si="35"/>
        <v>184122.36000000002</v>
      </c>
      <c r="H53" s="33" t="s">
        <v>57</v>
      </c>
      <c r="I53" s="182">
        <v>13</v>
      </c>
      <c r="J53" s="31">
        <v>2000</v>
      </c>
      <c r="K53" s="12">
        <f t="shared" si="1"/>
        <v>153.84615384615384</v>
      </c>
      <c r="L53" s="182">
        <v>13</v>
      </c>
      <c r="M53" s="13">
        <f t="shared" si="39"/>
        <v>1914.690265486727</v>
      </c>
      <c r="N53" s="13">
        <f t="shared" si="3"/>
        <v>147.28386657590207</v>
      </c>
      <c r="O53" s="14">
        <f t="shared" si="4"/>
        <v>0</v>
      </c>
      <c r="P53" s="15">
        <f t="shared" si="5"/>
        <v>-6.5622872702517725</v>
      </c>
      <c r="Q53" s="175">
        <f t="shared" si="6"/>
        <v>0.95734513274336352</v>
      </c>
      <c r="R53" s="615"/>
      <c r="S53" s="34">
        <v>0.76666666666666672</v>
      </c>
      <c r="T53" s="34">
        <v>0.84513888888888888</v>
      </c>
      <c r="U53" s="176">
        <f t="shared" si="38"/>
        <v>6.9999999999999751</v>
      </c>
      <c r="V53" s="183">
        <f t="shared" si="37"/>
        <v>112.99999999999991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-85.309734513273042</v>
      </c>
      <c r="AF53" s="175">
        <f t="shared" si="9"/>
        <v>0.95734513274336352</v>
      </c>
      <c r="AG53" s="615"/>
    </row>
    <row r="54" spans="1:33">
      <c r="A54" s="631" t="s">
        <v>13</v>
      </c>
      <c r="B54" s="29" t="s">
        <v>6</v>
      </c>
      <c r="C54" s="618"/>
      <c r="D54" s="618"/>
      <c r="E54" s="177"/>
      <c r="F54" s="30"/>
      <c r="G54" s="12"/>
      <c r="H54" s="184"/>
      <c r="I54" s="23">
        <v>18.285714285714285</v>
      </c>
      <c r="J54" s="31">
        <v>2000</v>
      </c>
      <c r="K54" s="12">
        <f t="shared" si="1"/>
        <v>109.375</v>
      </c>
      <c r="L54" s="23">
        <v>18.285714285714285</v>
      </c>
      <c r="M54" s="13">
        <f>AVERAGE(M47:M53)</f>
        <v>1918.9929190098371</v>
      </c>
      <c r="N54" s="12">
        <f t="shared" si="3"/>
        <v>104.94492525835048</v>
      </c>
      <c r="O54" s="14">
        <f t="shared" si="4"/>
        <v>0</v>
      </c>
      <c r="P54" s="15">
        <f t="shared" si="5"/>
        <v>-4.4300747416495199</v>
      </c>
      <c r="Q54" s="175">
        <f t="shared" si="6"/>
        <v>0.95949645950491869</v>
      </c>
      <c r="R54" s="615"/>
      <c r="S54" s="34"/>
      <c r="T54" s="34"/>
      <c r="U54" s="176"/>
      <c r="V54" s="183"/>
      <c r="W54" s="12"/>
      <c r="X54" s="12"/>
      <c r="Y54" s="24">
        <f>SUM(Y47:Y53)</f>
        <v>0</v>
      </c>
      <c r="Z54" s="24">
        <f>SUM(Z47:Z53)</f>
        <v>0</v>
      </c>
      <c r="AA54" s="614"/>
      <c r="AB54" s="614"/>
      <c r="AC54" s="24">
        <v>7</v>
      </c>
      <c r="AD54" s="24">
        <f>SUM(AD47:AD53)</f>
        <v>0</v>
      </c>
      <c r="AE54" s="14">
        <f>M54-J54</f>
        <v>-81.007080990162876</v>
      </c>
      <c r="AF54" s="175">
        <f t="shared" si="9"/>
        <v>0.95949645950491858</v>
      </c>
      <c r="AG54" s="615"/>
    </row>
    <row r="55" spans="1:33" ht="15.75" customHeight="1">
      <c r="A55" s="626" t="s">
        <v>366</v>
      </c>
      <c r="B55" s="184" t="s">
        <v>40</v>
      </c>
      <c r="C55" s="616" t="s">
        <v>49</v>
      </c>
      <c r="D55" s="616"/>
      <c r="E55" s="29">
        <v>34.36</v>
      </c>
      <c r="F55" s="32">
        <v>2244</v>
      </c>
      <c r="G55" s="176">
        <f t="shared" ref="G55:G59" si="40">E55*F55</f>
        <v>77103.839999999997</v>
      </c>
      <c r="H55" s="33" t="s">
        <v>57</v>
      </c>
      <c r="I55" s="182">
        <v>10</v>
      </c>
      <c r="J55" s="31">
        <v>3000</v>
      </c>
      <c r="K55" s="12">
        <f t="shared" si="1"/>
        <v>300</v>
      </c>
      <c r="L55" s="182">
        <v>10</v>
      </c>
      <c r="M55" s="13">
        <f t="shared" ref="M55:M59" si="41">F55/V55*60</f>
        <v>2864.6808510638302</v>
      </c>
      <c r="N55" s="12">
        <f t="shared" si="3"/>
        <v>286.468085106383</v>
      </c>
      <c r="O55" s="14">
        <f t="shared" si="4"/>
        <v>0</v>
      </c>
      <c r="P55" s="15">
        <f t="shared" si="5"/>
        <v>-13.531914893617</v>
      </c>
      <c r="Q55" s="175">
        <f t="shared" si="6"/>
        <v>0.95489361702127662</v>
      </c>
      <c r="R55" s="615">
        <f>Q60</f>
        <v>0.96776390695135839</v>
      </c>
      <c r="S55" s="34">
        <v>0.20833333333333334</v>
      </c>
      <c r="T55" s="34">
        <v>0.24097222222222223</v>
      </c>
      <c r="U55" s="176"/>
      <c r="V55" s="183">
        <f t="shared" ref="V55:V59" si="42">(T55-S55)*24*60</f>
        <v>46.999999999999993</v>
      </c>
      <c r="W55" s="21"/>
      <c r="X55" s="21"/>
      <c r="Y55" s="21"/>
      <c r="Z55" s="21"/>
      <c r="AA55" s="617"/>
      <c r="AB55" s="617"/>
      <c r="AC55" s="35">
        <v>5</v>
      </c>
      <c r="AD55" s="18"/>
      <c r="AE55" s="14">
        <f t="shared" ref="AE55:AE66" si="43">M55-J55</f>
        <v>-135.31914893616977</v>
      </c>
      <c r="AF55" s="175">
        <f t="shared" si="9"/>
        <v>0.95489361702127673</v>
      </c>
      <c r="AG55" s="615">
        <f>AF60</f>
        <v>0.96776390695135861</v>
      </c>
    </row>
    <row r="56" spans="1:33" ht="15.75" customHeight="1">
      <c r="A56" s="626" t="s">
        <v>366</v>
      </c>
      <c r="B56" s="184" t="s">
        <v>40</v>
      </c>
      <c r="C56" s="616" t="s">
        <v>50</v>
      </c>
      <c r="D56" s="616"/>
      <c r="E56" s="29">
        <v>34.36</v>
      </c>
      <c r="F56" s="32">
        <v>1045</v>
      </c>
      <c r="G56" s="176">
        <f t="shared" si="40"/>
        <v>35906.199999999997</v>
      </c>
      <c r="H56" s="33" t="s">
        <v>57</v>
      </c>
      <c r="I56" s="182">
        <v>10</v>
      </c>
      <c r="J56" s="31">
        <v>3000</v>
      </c>
      <c r="K56" s="12">
        <f t="shared" si="1"/>
        <v>300</v>
      </c>
      <c r="L56" s="182">
        <v>10</v>
      </c>
      <c r="M56" s="13">
        <f t="shared" si="41"/>
        <v>2985.7142857142849</v>
      </c>
      <c r="N56" s="12">
        <f t="shared" si="3"/>
        <v>298.5714285714285</v>
      </c>
      <c r="O56" s="14">
        <f t="shared" si="4"/>
        <v>0</v>
      </c>
      <c r="P56" s="15">
        <f t="shared" si="5"/>
        <v>-1.4285714285715017</v>
      </c>
      <c r="Q56" s="175">
        <f t="shared" si="6"/>
        <v>0.99523809523809503</v>
      </c>
      <c r="R56" s="615"/>
      <c r="S56" s="34">
        <v>0.24583333333333335</v>
      </c>
      <c r="T56" s="34">
        <v>0.26041666666666669</v>
      </c>
      <c r="U56" s="176">
        <f t="shared" ref="U56:U59" si="44">(S56-T55)*24*60</f>
        <v>7.0000000000000151</v>
      </c>
      <c r="V56" s="183">
        <f t="shared" si="42"/>
        <v>21.000000000000007</v>
      </c>
      <c r="W56" s="176"/>
      <c r="X56" s="176"/>
      <c r="Y56" s="176"/>
      <c r="Z56" s="176"/>
      <c r="AA56" s="617"/>
      <c r="AB56" s="617"/>
      <c r="AC56" s="35"/>
      <c r="AD56" s="18"/>
      <c r="AE56" s="14">
        <f t="shared" si="43"/>
        <v>-14.28571428571513</v>
      </c>
      <c r="AF56" s="175">
        <f t="shared" si="9"/>
        <v>0.99523809523809492</v>
      </c>
      <c r="AG56" s="615"/>
    </row>
    <row r="57" spans="1:33" ht="15.75" customHeight="1">
      <c r="A57" s="626" t="s">
        <v>366</v>
      </c>
      <c r="B57" s="184" t="s">
        <v>40</v>
      </c>
      <c r="C57" s="616" t="s">
        <v>51</v>
      </c>
      <c r="D57" s="616"/>
      <c r="E57" s="29">
        <v>26.78</v>
      </c>
      <c r="F57" s="32">
        <v>2467</v>
      </c>
      <c r="G57" s="176">
        <f t="shared" si="40"/>
        <v>66066.260000000009</v>
      </c>
      <c r="H57" s="33" t="s">
        <v>57</v>
      </c>
      <c r="I57" s="182">
        <v>10</v>
      </c>
      <c r="J57" s="31">
        <v>3000</v>
      </c>
      <c r="K57" s="12">
        <f t="shared" si="1"/>
        <v>300</v>
      </c>
      <c r="L57" s="182">
        <v>10</v>
      </c>
      <c r="M57" s="13">
        <f t="shared" si="41"/>
        <v>2902.3529411764721</v>
      </c>
      <c r="N57" s="12">
        <f t="shared" si="3"/>
        <v>290.23529411764719</v>
      </c>
      <c r="O57" s="14">
        <f t="shared" si="4"/>
        <v>0</v>
      </c>
      <c r="P57" s="15">
        <f t="shared" si="5"/>
        <v>-9.7647058823528141</v>
      </c>
      <c r="Q57" s="175">
        <f t="shared" si="6"/>
        <v>0.96745098039215727</v>
      </c>
      <c r="R57" s="615"/>
      <c r="S57" s="34">
        <v>0.26527777777777778</v>
      </c>
      <c r="T57" s="34">
        <v>0.30069444444444443</v>
      </c>
      <c r="U57" s="176">
        <f t="shared" si="44"/>
        <v>6.9999999999999751</v>
      </c>
      <c r="V57" s="183">
        <f t="shared" si="42"/>
        <v>50.999999999999979</v>
      </c>
      <c r="W57" s="176"/>
      <c r="X57" s="176"/>
      <c r="Y57" s="176"/>
      <c r="Z57" s="176"/>
      <c r="AA57" s="617"/>
      <c r="AB57" s="617"/>
      <c r="AC57" s="35"/>
      <c r="AD57" s="18"/>
      <c r="AE57" s="14">
        <f t="shared" si="43"/>
        <v>-97.647058823527914</v>
      </c>
      <c r="AF57" s="175">
        <f t="shared" si="9"/>
        <v>0.96745098039215738</v>
      </c>
      <c r="AG57" s="615"/>
    </row>
    <row r="58" spans="1:33" ht="15.75" customHeight="1">
      <c r="A58" s="626" t="s">
        <v>366</v>
      </c>
      <c r="B58" s="184" t="s">
        <v>40</v>
      </c>
      <c r="C58" s="616" t="s">
        <v>52</v>
      </c>
      <c r="D58" s="616"/>
      <c r="E58" s="29">
        <v>35.869999999999997</v>
      </c>
      <c r="F58" s="32">
        <v>3647</v>
      </c>
      <c r="G58" s="176">
        <f t="shared" si="40"/>
        <v>130817.88999999998</v>
      </c>
      <c r="H58" s="33" t="s">
        <v>57</v>
      </c>
      <c r="I58" s="182">
        <v>9</v>
      </c>
      <c r="J58" s="31">
        <v>3000</v>
      </c>
      <c r="K58" s="12">
        <f t="shared" si="1"/>
        <v>333.33333333333331</v>
      </c>
      <c r="L58" s="182">
        <v>9</v>
      </c>
      <c r="M58" s="13">
        <f t="shared" si="41"/>
        <v>2879.210526315791</v>
      </c>
      <c r="N58" s="12">
        <f t="shared" si="3"/>
        <v>319.91228070175453</v>
      </c>
      <c r="O58" s="14">
        <f t="shared" si="4"/>
        <v>0</v>
      </c>
      <c r="P58" s="15">
        <f t="shared" si="5"/>
        <v>-13.421052631578789</v>
      </c>
      <c r="Q58" s="175">
        <f t="shared" si="6"/>
        <v>0.95973684210526367</v>
      </c>
      <c r="R58" s="615"/>
      <c r="S58" s="34">
        <v>0.30624999999999997</v>
      </c>
      <c r="T58" s="34">
        <v>0.35902777777777772</v>
      </c>
      <c r="U58" s="176">
        <f t="shared" si="44"/>
        <v>7.9999999999999716</v>
      </c>
      <c r="V58" s="183">
        <f t="shared" si="42"/>
        <v>75.999999999999972</v>
      </c>
      <c r="W58" s="176"/>
      <c r="X58" s="176"/>
      <c r="Y58" s="176"/>
      <c r="Z58" s="176"/>
      <c r="AA58" s="617"/>
      <c r="AB58" s="617"/>
      <c r="AC58" s="35"/>
      <c r="AD58" s="18"/>
      <c r="AE58" s="14">
        <f t="shared" si="43"/>
        <v>-120.78947368420904</v>
      </c>
      <c r="AF58" s="175">
        <f t="shared" si="9"/>
        <v>0.95973684210526367</v>
      </c>
      <c r="AG58" s="615"/>
    </row>
    <row r="59" spans="1:33">
      <c r="A59" s="627" t="s">
        <v>366</v>
      </c>
      <c r="B59" s="184" t="s">
        <v>40</v>
      </c>
      <c r="C59" s="616" t="s">
        <v>53</v>
      </c>
      <c r="D59" s="616"/>
      <c r="E59" s="29">
        <v>34.35</v>
      </c>
      <c r="F59" s="32">
        <v>1923</v>
      </c>
      <c r="G59" s="176">
        <f t="shared" si="40"/>
        <v>66055.05</v>
      </c>
      <c r="H59" s="33" t="s">
        <v>57</v>
      </c>
      <c r="I59" s="182">
        <v>8</v>
      </c>
      <c r="J59" s="31">
        <v>3000</v>
      </c>
      <c r="K59" s="12">
        <f t="shared" si="1"/>
        <v>375</v>
      </c>
      <c r="L59" s="182">
        <v>8</v>
      </c>
      <c r="M59" s="13">
        <f t="shared" si="41"/>
        <v>2884.4999999999991</v>
      </c>
      <c r="N59" s="12">
        <f t="shared" si="3"/>
        <v>360.56249999999989</v>
      </c>
      <c r="O59" s="14">
        <f t="shared" si="4"/>
        <v>0</v>
      </c>
      <c r="P59" s="15">
        <f t="shared" si="5"/>
        <v>-14.437500000000114</v>
      </c>
      <c r="Q59" s="175">
        <f t="shared" si="6"/>
        <v>0.96149999999999969</v>
      </c>
      <c r="R59" s="615"/>
      <c r="S59" s="34">
        <v>0.36319444444444438</v>
      </c>
      <c r="T59" s="34">
        <v>0.39097222222222217</v>
      </c>
      <c r="U59" s="176">
        <f t="shared" si="44"/>
        <v>5.9999999999999787</v>
      </c>
      <c r="V59" s="183">
        <f t="shared" si="42"/>
        <v>40.000000000000014</v>
      </c>
      <c r="W59" s="16"/>
      <c r="X59" s="16"/>
      <c r="Y59" s="16"/>
      <c r="Z59" s="16"/>
      <c r="AA59" s="617"/>
      <c r="AB59" s="617"/>
      <c r="AC59" s="35"/>
      <c r="AD59" s="18"/>
      <c r="AE59" s="14">
        <f t="shared" si="43"/>
        <v>-115.50000000000091</v>
      </c>
      <c r="AF59" s="175">
        <f t="shared" si="9"/>
        <v>0.96149999999999969</v>
      </c>
      <c r="AG59" s="615"/>
    </row>
    <row r="60" spans="1:33">
      <c r="A60" s="627" t="s">
        <v>366</v>
      </c>
      <c r="B60" s="29" t="s">
        <v>6</v>
      </c>
      <c r="C60" s="618"/>
      <c r="D60" s="618"/>
      <c r="E60" s="177"/>
      <c r="F60" s="30"/>
      <c r="G60" s="12"/>
      <c r="H60" s="184"/>
      <c r="I60" s="23">
        <v>9.4</v>
      </c>
      <c r="J60" s="31">
        <v>3000</v>
      </c>
      <c r="K60" s="12">
        <f t="shared" si="1"/>
        <v>319.14893617021278</v>
      </c>
      <c r="L60" s="23">
        <v>9.4</v>
      </c>
      <c r="M60" s="13">
        <f>AVERAGE(M55:M59)</f>
        <v>2903.2917208540757</v>
      </c>
      <c r="N60" s="12">
        <f t="shared" si="3"/>
        <v>308.86082136745483</v>
      </c>
      <c r="O60" s="14">
        <f t="shared" si="4"/>
        <v>0</v>
      </c>
      <c r="P60" s="15">
        <f t="shared" si="5"/>
        <v>-10.288114802757946</v>
      </c>
      <c r="Q60" s="175">
        <f t="shared" si="6"/>
        <v>0.96776390695135839</v>
      </c>
      <c r="R60" s="615"/>
      <c r="S60" s="34"/>
      <c r="T60" s="34"/>
      <c r="U60" s="12"/>
      <c r="V60" s="183"/>
      <c r="W60" s="12"/>
      <c r="X60" s="12"/>
      <c r="Y60" s="24">
        <f>SUM(Y55:Y59)</f>
        <v>0</v>
      </c>
      <c r="Z60" s="24">
        <f>SUM(Z55:Z59)</f>
        <v>0</v>
      </c>
      <c r="AA60" s="614"/>
      <c r="AB60" s="614"/>
      <c r="AC60" s="24">
        <v>5</v>
      </c>
      <c r="AD60" s="24">
        <f>SUM(AD55:AD59)</f>
        <v>0</v>
      </c>
      <c r="AE60" s="14">
        <f t="shared" si="43"/>
        <v>-96.70827914592428</v>
      </c>
      <c r="AF60" s="175">
        <f t="shared" si="9"/>
        <v>0.96776390695135861</v>
      </c>
      <c r="AG60" s="615"/>
    </row>
    <row r="61" spans="1:33" ht="15.75" customHeight="1">
      <c r="A61" s="619" t="s">
        <v>14</v>
      </c>
      <c r="B61" s="184" t="s">
        <v>32</v>
      </c>
      <c r="C61" s="616" t="s">
        <v>55</v>
      </c>
      <c r="D61" s="616"/>
      <c r="E61" s="29">
        <v>22.69</v>
      </c>
      <c r="F61" s="184">
        <v>3151</v>
      </c>
      <c r="G61" s="176">
        <f t="shared" ref="G61:G65" si="45">E61*F61</f>
        <v>71496.19</v>
      </c>
      <c r="H61" s="33" t="s">
        <v>57</v>
      </c>
      <c r="I61" s="182">
        <v>15</v>
      </c>
      <c r="J61" s="31">
        <v>2400</v>
      </c>
      <c r="K61" s="12">
        <f t="shared" si="1"/>
        <v>160</v>
      </c>
      <c r="L61" s="182">
        <v>15</v>
      </c>
      <c r="M61" s="13">
        <f t="shared" ref="M61:M65" si="46">F61/V61*60</f>
        <v>2305.6097560975613</v>
      </c>
      <c r="N61" s="12">
        <f t="shared" si="3"/>
        <v>153.70731707317074</v>
      </c>
      <c r="O61" s="14">
        <f t="shared" si="4"/>
        <v>0</v>
      </c>
      <c r="P61" s="15">
        <f t="shared" si="5"/>
        <v>-6.2926829268292579</v>
      </c>
      <c r="Q61" s="175">
        <f t="shared" si="6"/>
        <v>0.96067073170731709</v>
      </c>
      <c r="R61" s="615">
        <f>Q66</f>
        <v>0.95577808016602106</v>
      </c>
      <c r="S61" s="34">
        <v>8.3333333333333329E-2</v>
      </c>
      <c r="T61" s="34">
        <v>0.14027777777777778</v>
      </c>
      <c r="U61" s="21"/>
      <c r="V61" s="183">
        <f t="shared" ref="V61:V65" si="47">(T61-S61)*24*60</f>
        <v>82</v>
      </c>
      <c r="W61" s="16">
        <f>T61</f>
        <v>0.14027777777777778</v>
      </c>
      <c r="X61" s="16">
        <f>S62</f>
        <v>0.16111111111111112</v>
      </c>
      <c r="Y61" s="16"/>
      <c r="Z61" s="16"/>
      <c r="AA61" s="617"/>
      <c r="AB61" s="617"/>
      <c r="AC61" s="35">
        <v>5</v>
      </c>
      <c r="AD61" s="18"/>
      <c r="AE61" s="14">
        <f t="shared" si="43"/>
        <v>-94.390243902438669</v>
      </c>
      <c r="AF61" s="175">
        <f t="shared" si="9"/>
        <v>0.9606707317073172</v>
      </c>
      <c r="AG61" s="615">
        <f>AF66</f>
        <v>0.95577808016602106</v>
      </c>
    </row>
    <row r="62" spans="1:33" ht="15.75" customHeight="1">
      <c r="A62" s="620" t="s">
        <v>14</v>
      </c>
      <c r="B62" s="184" t="s">
        <v>32</v>
      </c>
      <c r="C62" s="616" t="s">
        <v>54</v>
      </c>
      <c r="D62" s="616"/>
      <c r="E62" s="29">
        <v>20.21</v>
      </c>
      <c r="F62" s="184">
        <v>2753</v>
      </c>
      <c r="G62" s="176">
        <f t="shared" si="45"/>
        <v>55638.130000000005</v>
      </c>
      <c r="H62" s="33" t="s">
        <v>57</v>
      </c>
      <c r="I62" s="182">
        <v>15</v>
      </c>
      <c r="J62" s="31">
        <v>2400</v>
      </c>
      <c r="K62" s="12">
        <f t="shared" si="1"/>
        <v>160</v>
      </c>
      <c r="L62" s="182">
        <v>15</v>
      </c>
      <c r="M62" s="13">
        <f t="shared" si="46"/>
        <v>2294.1666666666674</v>
      </c>
      <c r="N62" s="12">
        <f t="shared" si="3"/>
        <v>152.94444444444449</v>
      </c>
      <c r="O62" s="14">
        <f t="shared" si="4"/>
        <v>0</v>
      </c>
      <c r="P62" s="15">
        <f t="shared" si="5"/>
        <v>-7.0555555555555145</v>
      </c>
      <c r="Q62" s="175">
        <f t="shared" si="6"/>
        <v>0.95590277777777799</v>
      </c>
      <c r="R62" s="615"/>
      <c r="S62" s="34">
        <v>0.16111111111111112</v>
      </c>
      <c r="T62" s="34">
        <v>0.21111111111111111</v>
      </c>
      <c r="U62" s="176">
        <f t="shared" ref="U62:U65" si="48">(S62-T61)*24*60</f>
        <v>30.000000000000014</v>
      </c>
      <c r="V62" s="183">
        <f t="shared" si="47"/>
        <v>71.999999999999986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-105.83333333333258</v>
      </c>
      <c r="AF62" s="175">
        <f t="shared" si="9"/>
        <v>0.9559027777777781</v>
      </c>
      <c r="AG62" s="615"/>
    </row>
    <row r="63" spans="1:33" ht="15.75" customHeight="1">
      <c r="A63" s="620" t="s">
        <v>14</v>
      </c>
      <c r="B63" s="184" t="s">
        <v>32</v>
      </c>
      <c r="C63" s="616" t="s">
        <v>84</v>
      </c>
      <c r="D63" s="616"/>
      <c r="E63" s="29">
        <v>20.21</v>
      </c>
      <c r="F63" s="184">
        <v>4167</v>
      </c>
      <c r="G63" s="176">
        <f t="shared" si="45"/>
        <v>84215.07</v>
      </c>
      <c r="H63" s="33" t="s">
        <v>57</v>
      </c>
      <c r="I63" s="182">
        <v>18</v>
      </c>
      <c r="J63" s="31">
        <v>2400</v>
      </c>
      <c r="K63" s="12">
        <f t="shared" si="1"/>
        <v>133.33333333333334</v>
      </c>
      <c r="L63" s="182">
        <v>18</v>
      </c>
      <c r="M63" s="13">
        <f t="shared" si="46"/>
        <v>2293.7614678899081</v>
      </c>
      <c r="N63" s="12">
        <f t="shared" si="3"/>
        <v>127.43119266055045</v>
      </c>
      <c r="O63" s="14">
        <f t="shared" si="4"/>
        <v>0</v>
      </c>
      <c r="P63" s="15">
        <f t="shared" si="5"/>
        <v>-5.9021406727828918</v>
      </c>
      <c r="Q63" s="175">
        <f t="shared" si="6"/>
        <v>0.95573394495412833</v>
      </c>
      <c r="R63" s="615"/>
      <c r="S63" s="34">
        <v>0.21527777777777779</v>
      </c>
      <c r="T63" s="34">
        <v>0.29097222222222224</v>
      </c>
      <c r="U63" s="176">
        <f t="shared" si="48"/>
        <v>6.0000000000000187</v>
      </c>
      <c r="V63" s="183">
        <f t="shared" si="47"/>
        <v>109.00000000000001</v>
      </c>
      <c r="W63" s="16"/>
      <c r="X63" s="16"/>
      <c r="Y63" s="16"/>
      <c r="Z63" s="16"/>
      <c r="AA63" s="617"/>
      <c r="AB63" s="617"/>
      <c r="AC63" s="35"/>
      <c r="AD63" s="18"/>
      <c r="AE63" s="14">
        <f t="shared" si="43"/>
        <v>-106.23853211009191</v>
      </c>
      <c r="AF63" s="175">
        <f t="shared" si="9"/>
        <v>0.95573394495412833</v>
      </c>
      <c r="AG63" s="615"/>
    </row>
    <row r="64" spans="1:33" ht="15.75" customHeight="1">
      <c r="A64" s="620" t="s">
        <v>14</v>
      </c>
      <c r="B64" s="184" t="s">
        <v>32</v>
      </c>
      <c r="C64" s="616" t="s">
        <v>36</v>
      </c>
      <c r="D64" s="616"/>
      <c r="E64" s="29">
        <v>20.36</v>
      </c>
      <c r="F64" s="184">
        <v>3925</v>
      </c>
      <c r="G64" s="176">
        <f t="shared" si="45"/>
        <v>79913</v>
      </c>
      <c r="H64" s="33" t="s">
        <v>57</v>
      </c>
      <c r="I64" s="182">
        <v>17</v>
      </c>
      <c r="J64" s="31">
        <v>2400</v>
      </c>
      <c r="K64" s="12">
        <f t="shared" si="1"/>
        <v>141.1764705882353</v>
      </c>
      <c r="L64" s="182">
        <v>17</v>
      </c>
      <c r="M64" s="13">
        <f t="shared" si="46"/>
        <v>2286.4077669902908</v>
      </c>
      <c r="N64" s="12">
        <f t="shared" si="3"/>
        <v>134.49457452884064</v>
      </c>
      <c r="O64" s="14">
        <f t="shared" si="4"/>
        <v>0</v>
      </c>
      <c r="P64" s="15">
        <f t="shared" si="5"/>
        <v>-6.6818960593946599</v>
      </c>
      <c r="Q64" s="175">
        <f t="shared" si="6"/>
        <v>0.95266990291262121</v>
      </c>
      <c r="R64" s="615"/>
      <c r="S64" s="34">
        <v>0.29444444444444445</v>
      </c>
      <c r="T64" s="34">
        <v>0.36597222222222225</v>
      </c>
      <c r="U64" s="176">
        <f t="shared" si="48"/>
        <v>4.9999999999999822</v>
      </c>
      <c r="V64" s="183">
        <f t="shared" si="47"/>
        <v>103.00000000000003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-113.59223300970916</v>
      </c>
      <c r="AF64" s="175">
        <f t="shared" si="9"/>
        <v>0.95266990291262121</v>
      </c>
      <c r="AG64" s="615"/>
    </row>
    <row r="65" spans="1:33" ht="15.75" customHeight="1">
      <c r="A65" s="620" t="s">
        <v>14</v>
      </c>
      <c r="B65" s="184" t="s">
        <v>32</v>
      </c>
      <c r="C65" s="616" t="s">
        <v>56</v>
      </c>
      <c r="D65" s="616"/>
      <c r="E65" s="29">
        <v>19.02</v>
      </c>
      <c r="F65" s="184">
        <v>8776</v>
      </c>
      <c r="G65" s="176">
        <f t="shared" si="45"/>
        <v>166919.51999999999</v>
      </c>
      <c r="H65" s="33" t="s">
        <v>57</v>
      </c>
      <c r="I65" s="182">
        <v>14</v>
      </c>
      <c r="J65" s="31">
        <v>2400</v>
      </c>
      <c r="K65" s="12">
        <f t="shared" si="1"/>
        <v>171.42857142857142</v>
      </c>
      <c r="L65" s="182">
        <v>14</v>
      </c>
      <c r="M65" s="13">
        <f t="shared" si="46"/>
        <v>2289.3913043478265</v>
      </c>
      <c r="N65" s="12">
        <f t="shared" si="3"/>
        <v>163.52795031055902</v>
      </c>
      <c r="O65" s="14">
        <f t="shared" si="4"/>
        <v>0</v>
      </c>
      <c r="P65" s="15">
        <f t="shared" si="5"/>
        <v>-7.9006211180123955</v>
      </c>
      <c r="Q65" s="175">
        <f t="shared" si="6"/>
        <v>0.953913043478261</v>
      </c>
      <c r="R65" s="615"/>
      <c r="S65" s="34">
        <v>0.36944444444444446</v>
      </c>
      <c r="T65" s="34">
        <v>0.52916666666666667</v>
      </c>
      <c r="U65" s="176">
        <f t="shared" si="48"/>
        <v>4.9999999999999822</v>
      </c>
      <c r="V65" s="183">
        <f t="shared" si="47"/>
        <v>229.99999999999997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-110.60869565217354</v>
      </c>
      <c r="AF65" s="175">
        <f t="shared" si="9"/>
        <v>0.953913043478261</v>
      </c>
      <c r="AG65" s="615"/>
    </row>
    <row r="66" spans="1:33" ht="16.5" customHeight="1">
      <c r="A66" s="621" t="s">
        <v>14</v>
      </c>
      <c r="B66" s="29" t="s">
        <v>6</v>
      </c>
      <c r="C66" s="612"/>
      <c r="D66" s="613"/>
      <c r="E66" s="177"/>
      <c r="F66" s="30"/>
      <c r="G66" s="12"/>
      <c r="H66" s="184"/>
      <c r="I66" s="23">
        <v>15.8</v>
      </c>
      <c r="J66" s="31">
        <v>2400</v>
      </c>
      <c r="K66" s="12">
        <f t="shared" si="1"/>
        <v>151.89873417721518</v>
      </c>
      <c r="L66" s="23">
        <v>15.8</v>
      </c>
      <c r="M66" s="13">
        <f>AVERAGE(M61:M65)</f>
        <v>2293.8673923984506</v>
      </c>
      <c r="N66" s="12">
        <f t="shared" si="3"/>
        <v>145.18148053154749</v>
      </c>
      <c r="O66" s="14">
        <f t="shared" si="4"/>
        <v>0</v>
      </c>
      <c r="P66" s="15">
        <f t="shared" si="5"/>
        <v>-6.7172536456676823</v>
      </c>
      <c r="Q66" s="175">
        <f t="shared" si="6"/>
        <v>0.95577808016602106</v>
      </c>
      <c r="R66" s="615"/>
      <c r="S66" s="34"/>
      <c r="T66" s="34"/>
      <c r="U66" s="12"/>
      <c r="V66" s="183"/>
      <c r="W66" s="12"/>
      <c r="X66" s="12"/>
      <c r="Y66" s="24">
        <f>SUM(Y61:Y65)</f>
        <v>0</v>
      </c>
      <c r="Z66" s="24">
        <f>SUM(Z61:Z65)</f>
        <v>0</v>
      </c>
      <c r="AA66" s="614"/>
      <c r="AB66" s="614"/>
      <c r="AC66" s="24">
        <v>5</v>
      </c>
      <c r="AD66" s="24">
        <f>SUM(AD61:AD65)</f>
        <v>0</v>
      </c>
      <c r="AE66" s="14">
        <f t="shared" si="43"/>
        <v>-106.13260760154935</v>
      </c>
      <c r="AF66" s="175">
        <f t="shared" si="9"/>
        <v>0.95577808016602106</v>
      </c>
      <c r="AG66" s="615"/>
    </row>
    <row r="67" spans="1:33">
      <c r="D67" s="25"/>
      <c r="E67" s="25"/>
    </row>
  </sheetData>
  <mergeCells count="181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A33:AB33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C28:D28"/>
    <mergeCell ref="AA28:AB28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34:D34"/>
    <mergeCell ref="A35:A41"/>
    <mergeCell ref="C35:D35"/>
    <mergeCell ref="R35:R41"/>
    <mergeCell ref="AA35:AB35"/>
    <mergeCell ref="AG35:AG41"/>
    <mergeCell ref="C36:D36"/>
    <mergeCell ref="AA36:AB36"/>
    <mergeCell ref="C37:D37"/>
    <mergeCell ref="AA37:AB37"/>
    <mergeCell ref="C38:D38"/>
    <mergeCell ref="A29:A34"/>
    <mergeCell ref="C29:D29"/>
    <mergeCell ref="R29:R34"/>
    <mergeCell ref="AA29:AB29"/>
    <mergeCell ref="AA34:AB34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G42:AG46"/>
    <mergeCell ref="C43:D43"/>
    <mergeCell ref="AA43:AB43"/>
    <mergeCell ref="C44:D44"/>
    <mergeCell ref="AA44:AB44"/>
    <mergeCell ref="C45:D45"/>
    <mergeCell ref="AA38:AB38"/>
    <mergeCell ref="C39:D39"/>
    <mergeCell ref="AA39:AB39"/>
    <mergeCell ref="C40:D40"/>
    <mergeCell ref="AA40:AB40"/>
    <mergeCell ref="C41:D41"/>
    <mergeCell ref="AA41:AB41"/>
    <mergeCell ref="AA45:AB45"/>
    <mergeCell ref="C46:D46"/>
    <mergeCell ref="AA46:AB46"/>
    <mergeCell ref="A47:A54"/>
    <mergeCell ref="C47:D47"/>
    <mergeCell ref="R47:R54"/>
    <mergeCell ref="AA47:AB47"/>
    <mergeCell ref="AA53:AB53"/>
    <mergeCell ref="C54:D54"/>
    <mergeCell ref="AA54:AB54"/>
    <mergeCell ref="A42:A46"/>
    <mergeCell ref="C42:D42"/>
    <mergeCell ref="R42:R46"/>
    <mergeCell ref="AA42:AB42"/>
    <mergeCell ref="AG55:AG60"/>
    <mergeCell ref="C56:D56"/>
    <mergeCell ref="AA56:AB56"/>
    <mergeCell ref="C57:D57"/>
    <mergeCell ref="AA57:AB57"/>
    <mergeCell ref="C58:D58"/>
    <mergeCell ref="AG47:AG54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A58:AB58"/>
    <mergeCell ref="C59:D59"/>
    <mergeCell ref="AA59:AB59"/>
    <mergeCell ref="C60:D60"/>
    <mergeCell ref="AA60:AB60"/>
    <mergeCell ref="A61:A66"/>
    <mergeCell ref="C61:D61"/>
    <mergeCell ref="R61:R66"/>
    <mergeCell ref="AA61:AB61"/>
    <mergeCell ref="AA66:AB66"/>
    <mergeCell ref="A55:A60"/>
    <mergeCell ref="C55:D55"/>
    <mergeCell ref="R55:R60"/>
    <mergeCell ref="AA55:AB55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</mergeCells>
  <phoneticPr fontId="3" type="noConversion"/>
  <conditionalFormatting sqref="O54:O55 O58:O66 O5:O9 O13:O15 O21:O52">
    <cfRule type="cellIs" dxfId="412" priority="46" operator="greaterThan">
      <formula>0</formula>
    </cfRule>
  </conditionalFormatting>
  <conditionalFormatting sqref="P5:P7 P58:P59 AE58:AE59 P61:P65 P29:P33 P55 P9 P13:P15 P22:P27 P47:P52 P35:P45 AE5:AE55 AE61:AE66">
    <cfRule type="cellIs" dxfId="411" priority="50" operator="lessThan">
      <formula>0</formula>
    </cfRule>
  </conditionalFormatting>
  <conditionalFormatting sqref="AF58:AF59 Q54:Q55 Q58:Q66 Q5:Q9 Q13:Q15 Q21:Q52 AF5:AF55 AF61:AF66">
    <cfRule type="cellIs" dxfId="410" priority="47" operator="greaterThan">
      <formula>1</formula>
    </cfRule>
    <cfRule type="cellIs" dxfId="409" priority="48" operator="lessThan">
      <formula>0.8</formula>
    </cfRule>
  </conditionalFormatting>
  <conditionalFormatting sqref="AG14:AG15 R14:R15 AG58 AG54:AG55 R54:R55 R58:R66 AG5:AG9 R5:R9 AG21:AG52 R21:R52">
    <cfRule type="cellIs" dxfId="408" priority="52" operator="lessThan">
      <formula>0.8</formula>
    </cfRule>
  </conditionalFormatting>
  <conditionalFormatting sqref="AG42">
    <cfRule type="cellIs" dxfId="407" priority="54" operator="lessThan">
      <formula>0.8</formula>
    </cfRule>
  </conditionalFormatting>
  <conditionalFormatting sqref="AG22:AG27">
    <cfRule type="cellIs" dxfId="406" priority="51" operator="lessThan">
      <formula>0.8</formula>
    </cfRule>
  </conditionalFormatting>
  <conditionalFormatting sqref="AG29">
    <cfRule type="cellIs" dxfId="405" priority="53" operator="lessThan">
      <formula>0.8</formula>
    </cfRule>
  </conditionalFormatting>
  <conditionalFormatting sqref="AG35:AG40">
    <cfRule type="cellIs" dxfId="404" priority="49" operator="lessThan">
      <formula>0.8</formula>
    </cfRule>
  </conditionalFormatting>
  <conditionalFormatting sqref="AE60">
    <cfRule type="cellIs" dxfId="403" priority="45" operator="lessThan">
      <formula>0</formula>
    </cfRule>
  </conditionalFormatting>
  <conditionalFormatting sqref="AF60">
    <cfRule type="cellIs" dxfId="402" priority="43" operator="greaterThan">
      <formula>1</formula>
    </cfRule>
    <cfRule type="cellIs" dxfId="401" priority="44" operator="lessThan">
      <formula>0.8</formula>
    </cfRule>
  </conditionalFormatting>
  <conditionalFormatting sqref="O16:O17">
    <cfRule type="cellIs" dxfId="400" priority="38" operator="greaterThan">
      <formula>0</formula>
    </cfRule>
  </conditionalFormatting>
  <conditionalFormatting sqref="P16:P17">
    <cfRule type="cellIs" dxfId="399" priority="41" operator="lessThan">
      <formula>0</formula>
    </cfRule>
  </conditionalFormatting>
  <conditionalFormatting sqref="Q16:Q17">
    <cfRule type="cellIs" dxfId="398" priority="39" operator="greaterThan">
      <formula>1</formula>
    </cfRule>
    <cfRule type="cellIs" dxfId="397" priority="40" operator="lessThan">
      <formula>0.8</formula>
    </cfRule>
  </conditionalFormatting>
  <conditionalFormatting sqref="R16:R17 AG16:AG17">
    <cfRule type="cellIs" dxfId="396" priority="42" operator="lessThan">
      <formula>0.8</formula>
    </cfRule>
  </conditionalFormatting>
  <conditionalFormatting sqref="O10:O12">
    <cfRule type="cellIs" dxfId="395" priority="34" operator="greaterThan">
      <formula>0</formula>
    </cfRule>
  </conditionalFormatting>
  <conditionalFormatting sqref="P10:P12">
    <cfRule type="cellIs" dxfId="394" priority="37" operator="lessThan">
      <formula>0</formula>
    </cfRule>
  </conditionalFormatting>
  <conditionalFormatting sqref="Q10:Q12">
    <cfRule type="cellIs" dxfId="393" priority="35" operator="greaterThan">
      <formula>1</formula>
    </cfRule>
    <cfRule type="cellIs" dxfId="392" priority="36" operator="lessThan">
      <formula>0.8</formula>
    </cfRule>
  </conditionalFormatting>
  <conditionalFormatting sqref="O53">
    <cfRule type="cellIs" dxfId="391" priority="29" operator="greaterThan">
      <formula>0</formula>
    </cfRule>
  </conditionalFormatting>
  <conditionalFormatting sqref="P53">
    <cfRule type="cellIs" dxfId="390" priority="32" operator="lessThan">
      <formula>0</formula>
    </cfRule>
  </conditionalFormatting>
  <conditionalFormatting sqref="Q53">
    <cfRule type="cellIs" dxfId="389" priority="30" operator="greaterThan">
      <formula>1</formula>
    </cfRule>
    <cfRule type="cellIs" dxfId="388" priority="31" operator="lessThan">
      <formula>0.8</formula>
    </cfRule>
  </conditionalFormatting>
  <conditionalFormatting sqref="R53 AG53">
    <cfRule type="cellIs" dxfId="387" priority="33" operator="lessThan">
      <formula>0.8</formula>
    </cfRule>
  </conditionalFormatting>
  <conditionalFormatting sqref="O57">
    <cfRule type="cellIs" dxfId="386" priority="24" operator="greaterThan">
      <formula>0</formula>
    </cfRule>
  </conditionalFormatting>
  <conditionalFormatting sqref="P57 AE57">
    <cfRule type="cellIs" dxfId="385" priority="27" operator="lessThan">
      <formula>0</formula>
    </cfRule>
  </conditionalFormatting>
  <conditionalFormatting sqref="Q57 AF57">
    <cfRule type="cellIs" dxfId="384" priority="25" operator="greaterThan">
      <formula>1</formula>
    </cfRule>
    <cfRule type="cellIs" dxfId="383" priority="26" operator="lessThan">
      <formula>0.8</formula>
    </cfRule>
  </conditionalFormatting>
  <conditionalFormatting sqref="R57 AG57">
    <cfRule type="cellIs" dxfId="382" priority="28" operator="lessThan">
      <formula>0.8</formula>
    </cfRule>
  </conditionalFormatting>
  <conditionalFormatting sqref="O18:O19">
    <cfRule type="cellIs" dxfId="381" priority="19" operator="greaterThan">
      <formula>0</formula>
    </cfRule>
  </conditionalFormatting>
  <conditionalFormatting sqref="P18:P19">
    <cfRule type="cellIs" dxfId="380" priority="22" operator="lessThan">
      <formula>0</formula>
    </cfRule>
  </conditionalFormatting>
  <conditionalFormatting sqref="Q18:Q19">
    <cfRule type="cellIs" dxfId="379" priority="20" operator="greaterThan">
      <formula>1</formula>
    </cfRule>
    <cfRule type="cellIs" dxfId="378" priority="21" operator="lessThan">
      <formula>0.8</formula>
    </cfRule>
  </conditionalFormatting>
  <conditionalFormatting sqref="R18:R19 AG18:AG19">
    <cfRule type="cellIs" dxfId="377" priority="23" operator="lessThan">
      <formula>0.8</formula>
    </cfRule>
  </conditionalFormatting>
  <conditionalFormatting sqref="O56">
    <cfRule type="cellIs" dxfId="376" priority="14" operator="greaterThan">
      <formula>0</formula>
    </cfRule>
  </conditionalFormatting>
  <conditionalFormatting sqref="P56 AE56">
    <cfRule type="cellIs" dxfId="375" priority="17" operator="lessThan">
      <formula>0</formula>
    </cfRule>
  </conditionalFormatting>
  <conditionalFormatting sqref="Q56 AF56">
    <cfRule type="cellIs" dxfId="374" priority="15" operator="greaterThan">
      <formula>1</formula>
    </cfRule>
    <cfRule type="cellIs" dxfId="373" priority="16" operator="lessThan">
      <formula>0.8</formula>
    </cfRule>
  </conditionalFormatting>
  <conditionalFormatting sqref="R56 AG56">
    <cfRule type="cellIs" dxfId="372" priority="18" operator="lessThan">
      <formula>0.8</formula>
    </cfRule>
  </conditionalFormatting>
  <conditionalFormatting sqref="O20">
    <cfRule type="cellIs" dxfId="371" priority="9" operator="greaterThan">
      <formula>0</formula>
    </cfRule>
  </conditionalFormatting>
  <conditionalFormatting sqref="P20">
    <cfRule type="cellIs" dxfId="370" priority="12" operator="lessThan">
      <formula>0</formula>
    </cfRule>
  </conditionalFormatting>
  <conditionalFormatting sqref="Q20">
    <cfRule type="cellIs" dxfId="369" priority="10" operator="greaterThan">
      <formula>1</formula>
    </cfRule>
    <cfRule type="cellIs" dxfId="368" priority="11" operator="lessThan">
      <formula>0.8</formula>
    </cfRule>
  </conditionalFormatting>
  <conditionalFormatting sqref="AG20 R20">
    <cfRule type="cellIs" dxfId="367" priority="13" operator="lessThan">
      <formula>0.8</formula>
    </cfRule>
  </conditionalFormatting>
  <conditionalFormatting sqref="P8">
    <cfRule type="cellIs" dxfId="366" priority="8" operator="lessThan">
      <formula>0</formula>
    </cfRule>
  </conditionalFormatting>
  <conditionalFormatting sqref="P21">
    <cfRule type="cellIs" dxfId="365" priority="7" operator="lessThan">
      <formula>0</formula>
    </cfRule>
  </conditionalFormatting>
  <conditionalFormatting sqref="P28">
    <cfRule type="cellIs" dxfId="364" priority="6" operator="lessThan">
      <formula>0</formula>
    </cfRule>
  </conditionalFormatting>
  <conditionalFormatting sqref="P34">
    <cfRule type="cellIs" dxfId="363" priority="5" operator="lessThan">
      <formula>0</formula>
    </cfRule>
  </conditionalFormatting>
  <conditionalFormatting sqref="P46">
    <cfRule type="cellIs" dxfId="362" priority="4" operator="lessThan">
      <formula>0</formula>
    </cfRule>
  </conditionalFormatting>
  <conditionalFormatting sqref="P54">
    <cfRule type="cellIs" dxfId="361" priority="3" operator="lessThan">
      <formula>0</formula>
    </cfRule>
  </conditionalFormatting>
  <conditionalFormatting sqref="P60">
    <cfRule type="cellIs" dxfId="360" priority="2" operator="lessThan">
      <formula>0</formula>
    </cfRule>
  </conditionalFormatting>
  <conditionalFormatting sqref="P66">
    <cfRule type="cellIs" dxfId="359" priority="1" operator="lessThan">
      <formula>0</formula>
    </cfRule>
  </conditionalFormatting>
  <dataValidations count="1">
    <dataValidation type="list" allowBlank="1" showInputMessage="1" showErrorMessage="1" sqref="AB8 AA5:AB7 AB59 AA8:AA59 AB10:AB55 AA60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5" sqref="E5:F5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460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461</v>
      </c>
      <c r="C3" s="601" t="str">
        <f>TEXT('0605 4度C'!A2,"yyyy.mm.ddaaaa")</f>
        <v>2026.06.05星期五</v>
      </c>
      <c r="D3" s="602"/>
      <c r="E3" s="39" t="s">
        <v>462</v>
      </c>
      <c r="F3" s="603">
        <f>'0605 4度C'!D1</f>
        <v>148122</v>
      </c>
      <c r="G3" s="604"/>
      <c r="H3" s="39" t="s">
        <v>463</v>
      </c>
      <c r="I3" s="605">
        <f>'0605 4度C'!F1</f>
        <v>5087666.6099999994</v>
      </c>
      <c r="J3" s="606"/>
      <c r="K3" s="40"/>
      <c r="L3" s="41"/>
      <c r="M3" s="42"/>
      <c r="N3" s="42"/>
    </row>
    <row r="4" spans="2:17" ht="28.5" customHeight="1">
      <c r="B4" s="607" t="s">
        <v>464</v>
      </c>
      <c r="C4" s="593" t="s">
        <v>465</v>
      </c>
      <c r="D4" s="594"/>
      <c r="E4" s="610" t="s">
        <v>466</v>
      </c>
      <c r="F4" s="611"/>
      <c r="G4" s="610" t="s">
        <v>467</v>
      </c>
      <c r="H4" s="611"/>
      <c r="I4" s="610" t="s">
        <v>468</v>
      </c>
      <c r="J4" s="611"/>
      <c r="K4" s="591" t="s">
        <v>469</v>
      </c>
      <c r="L4" s="592"/>
      <c r="M4" s="592" t="s">
        <v>470</v>
      </c>
      <c r="N4" s="592"/>
    </row>
    <row r="5" spans="2:17" ht="28.5" customHeight="1">
      <c r="B5" s="608"/>
      <c r="C5" s="593" t="s">
        <v>471</v>
      </c>
      <c r="D5" s="594"/>
      <c r="E5" s="593" t="s">
        <v>472</v>
      </c>
      <c r="F5" s="594"/>
      <c r="G5" s="595" t="s">
        <v>473</v>
      </c>
      <c r="H5" s="596"/>
      <c r="I5" s="597" t="s">
        <v>474</v>
      </c>
      <c r="J5" s="598"/>
      <c r="K5" s="43" t="s">
        <v>475</v>
      </c>
      <c r="L5" s="44" t="s">
        <v>476</v>
      </c>
      <c r="M5" s="43" t="s">
        <v>477</v>
      </c>
      <c r="N5" s="44" t="s">
        <v>478</v>
      </c>
    </row>
    <row r="6" spans="2:17" ht="28.5" customHeight="1">
      <c r="B6" s="608"/>
      <c r="C6" s="593" t="s">
        <v>58</v>
      </c>
      <c r="D6" s="594"/>
      <c r="E6" s="585">
        <f>AVERAGE(D13:M13)</f>
        <v>152.55752396708402</v>
      </c>
      <c r="F6" s="586">
        <f>AVERAGE(D31:O31,D13:J13)</f>
        <v>159.21649336405653</v>
      </c>
      <c r="G6" s="587">
        <f>AVERAGE(D13:J13)</f>
        <v>159.21649336405653</v>
      </c>
      <c r="H6" s="588"/>
      <c r="I6" s="587">
        <f>AVERAGE(K13:M13)</f>
        <v>137.01992870748151</v>
      </c>
      <c r="J6" s="588"/>
      <c r="K6" s="589">
        <f>'0605 4度C'!Y2</f>
        <v>0</v>
      </c>
      <c r="L6" s="574">
        <f>'0605 4度C'!Z2</f>
        <v>0</v>
      </c>
      <c r="M6" s="590">
        <f>'0605 4度C'!AC2</f>
        <v>52</v>
      </c>
      <c r="N6" s="574">
        <f>'0605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146.35776642123309</v>
      </c>
      <c r="F7" s="578">
        <f>AVERAGE(D32:O32,D14:J14)</f>
        <v>152.9620471671937</v>
      </c>
      <c r="G7" s="579">
        <f>AVERAGE(D14:J14)</f>
        <v>152.9620471671937</v>
      </c>
      <c r="H7" s="580"/>
      <c r="I7" s="579">
        <f>AVERAGE(K14:M14)</f>
        <v>130.94777801399172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0.9587846933817934</v>
      </c>
      <c r="F8" s="582">
        <f>AVERAGE(D15:J15,D33:O33)</f>
        <v>0.96008614172552209</v>
      </c>
      <c r="G8" s="583">
        <f>AVERAGE(D15:J15)</f>
        <v>0.96008614172552209</v>
      </c>
      <c r="H8" s="584"/>
      <c r="I8" s="583">
        <f>AVERAGE(K15:M15)</f>
        <v>0.95574798057975985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479</v>
      </c>
      <c r="N9" s="42"/>
      <c r="O9" s="42"/>
      <c r="P9" s="42"/>
      <c r="Q9" s="42"/>
    </row>
    <row r="10" spans="2:17" ht="30" customHeight="1">
      <c r="B10" s="557" t="s">
        <v>480</v>
      </c>
      <c r="C10" s="558"/>
      <c r="D10" s="559" t="s">
        <v>481</v>
      </c>
      <c r="E10" s="560"/>
      <c r="F10" s="560"/>
      <c r="G10" s="560"/>
      <c r="H10" s="560"/>
      <c r="I10" s="560"/>
      <c r="J10" s="561"/>
      <c r="K10" s="562" t="s">
        <v>482</v>
      </c>
      <c r="L10" s="563"/>
      <c r="M10" s="564"/>
      <c r="P10" s="48"/>
      <c r="Q10" s="48"/>
    </row>
    <row r="11" spans="2:17" ht="17.25" customHeight="1">
      <c r="B11" s="565" t="s">
        <v>483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484</v>
      </c>
      <c r="C13" s="55" t="s">
        <v>485</v>
      </c>
      <c r="D13" s="56">
        <f>SUMIFS('0605 4度C'!$K:$K,'0605 4度C'!$A:$A,"新豐6線",'0605 4度C'!$B:$B,"平均")</f>
        <v>130.43478260869566</v>
      </c>
      <c r="E13" s="57">
        <f>SUMIFS('0605 4度C'!$K:$K,'0605 4度C'!$A:$A,"新豐2線",'0605 4度C'!$B:$B,"平均")</f>
        <v>86.956521739130437</v>
      </c>
      <c r="F13" s="58">
        <f>SUMIFS('0605 4度C'!$K:$K,'0605 4度C'!$A:$A,"新豐5線",'0605 4度C'!$B:$B,"平均")</f>
        <v>87.786259541984734</v>
      </c>
      <c r="G13" s="58">
        <f>SUMIFS('0605 4度C'!$K:$K,'0605 4度C'!$A:$A,"新豐7線",'0605 4度C'!$B:$B,"平均")</f>
        <v>125</v>
      </c>
      <c r="H13" s="58">
        <f>SUMIFS('0605 4度C'!$K:$K,'0605 4度C'!$A:$A,"新豐3線",'0605 4度C'!$B:$B,"平均")</f>
        <v>255.81395348837211</v>
      </c>
      <c r="I13" s="58">
        <f>SUMIFS('0605 4度C'!$K:$K,'0605 4度C'!$A:$A,"新豐1線",'0605 4度C'!$B:$B,"平均")</f>
        <v>109.375</v>
      </c>
      <c r="J13" s="59">
        <f>SUMIFS('0605 4度C'!$K:$K,'0605 4度C'!$A:$A,"新豐10線",'0605 4度C'!$B:$B,"平均")</f>
        <v>319.14893617021278</v>
      </c>
      <c r="K13" s="60">
        <f>SUMIFS('0605 4度C'!$K:$K,'0605 4度C'!$A:$A,"新豐8線",'0605 4度C'!$B:$B,"平均")</f>
        <v>139.53488372093022</v>
      </c>
      <c r="L13" s="61">
        <f>SUMIFS('0605 4度C'!$K:$K,'0605 4度C'!$A:$A,"新豐9線",'0605 4度C'!$B:$B,"平均")</f>
        <v>119.62616822429908</v>
      </c>
      <c r="M13" s="59">
        <f>SUMIFS('0605 4度C'!$K:$K,'0605 4度C'!$A:$A,"新豐4線",'0605 4度C'!$B:$B,"平均")</f>
        <v>151.89873417721518</v>
      </c>
    </row>
    <row r="14" spans="2:17" ht="39.6" customHeight="1">
      <c r="B14" s="570"/>
      <c r="C14" s="62" t="s">
        <v>486</v>
      </c>
      <c r="D14" s="63">
        <f>SUMIFS('0605 4度C'!$N:$N,'0605 4度C'!$A:$A,"新豐6線",'0605 4度C'!$B:$B,"平均")</f>
        <v>126.16736238589786</v>
      </c>
      <c r="E14" s="64">
        <f>SUMIFS('0605 4度C'!$N:$N,'0605 4度C'!$A:$A,"新豐2線",'0605 4度C'!$B:$B,"平均")</f>
        <v>82.956474705292294</v>
      </c>
      <c r="F14" s="64">
        <f>SUMIFS('0605 4度C'!$N:$N,'0605 4度C'!$A:$A,"新豐5線",'0605 4度C'!$B:$B,"平均")</f>
        <v>84.215675216045028</v>
      </c>
      <c r="G14" s="64">
        <f>SUMIFS('0605 4度C'!$N:$N,'0605 4度C'!$A:$A,"新豐7線",'0605 4度C'!$B:$B,"平均")</f>
        <v>120.0029927033539</v>
      </c>
      <c r="H14" s="64">
        <f>SUMIFS('0605 4度C'!$N:$N,'0605 4度C'!$A:$A,"新豐3線",'0605 4度C'!$B:$B,"平均")</f>
        <v>244.68272045127986</v>
      </c>
      <c r="I14" s="64">
        <f>SUMIFS('0605 4度C'!$N:$N,'0605 4度C'!$A:$A,"新豐1線",'0605 4度C'!$B:$B,"平均")</f>
        <v>104.88816078774461</v>
      </c>
      <c r="J14" s="65">
        <f>SUMIFS('0605 4度C'!$N:$N,'0605 4度C'!$A:$A,"新豐10線",'0605 4度C'!$B:$B,"平均")</f>
        <v>307.82094392074237</v>
      </c>
      <c r="K14" s="66">
        <f>SUMIFS('0605 4度C'!$N:$N,'0605 4度C'!$A:$A,"新豐8線",'0605 4度C'!$B:$B,"平均")</f>
        <v>133.25065812657931</v>
      </c>
      <c r="L14" s="67">
        <f>SUMIFS('0605 4度C'!$N:$N,'0605 4度C'!$A:$A,"新豐9線",'0605 4度C'!$B:$B,"平均")</f>
        <v>114.46565652407133</v>
      </c>
      <c r="M14" s="65">
        <f>SUMIFS('0605 4度C'!$N:$N,'0605 4度C'!$A:$A,"新豐4線",'0605 4度C'!$B:$B,"平均")</f>
        <v>145.12701939132447</v>
      </c>
    </row>
    <row r="15" spans="2:17" ht="40.15" customHeight="1">
      <c r="B15" s="571"/>
      <c r="C15" s="68" t="s">
        <v>487</v>
      </c>
      <c r="D15" s="69">
        <f t="shared" ref="D15:M15" si="0">D14/D13</f>
        <v>0.96728311162521685</v>
      </c>
      <c r="E15" s="70">
        <f t="shared" si="0"/>
        <v>0.95399945911086137</v>
      </c>
      <c r="F15" s="70">
        <f t="shared" si="0"/>
        <v>0.95932638724364339</v>
      </c>
      <c r="G15" s="70">
        <f t="shared" si="0"/>
        <v>0.96002394162683113</v>
      </c>
      <c r="H15" s="70">
        <f t="shared" si="0"/>
        <v>0.9564869981277303</v>
      </c>
      <c r="I15" s="70">
        <f t="shared" si="0"/>
        <v>0.95897747005937928</v>
      </c>
      <c r="J15" s="71">
        <f t="shared" si="0"/>
        <v>0.96450562428499276</v>
      </c>
      <c r="K15" s="69">
        <f t="shared" si="0"/>
        <v>0.95496304990715175</v>
      </c>
      <c r="L15" s="70">
        <f t="shared" si="0"/>
        <v>0.95686134750590868</v>
      </c>
      <c r="M15" s="71">
        <f t="shared" si="0"/>
        <v>0.95541954432621945</v>
      </c>
    </row>
    <row r="16" spans="2:17" ht="17.25" customHeight="1">
      <c r="B16" s="572" t="s">
        <v>488</v>
      </c>
      <c r="C16" s="72" t="s">
        <v>489</v>
      </c>
      <c r="D16" s="73">
        <f>VLOOKUP("新豐6線",'0605 4度C'!$A:$T,19,0)</f>
        <v>0.70833333333333337</v>
      </c>
      <c r="E16" s="74">
        <f>VLOOKUP("新豐2線",'0605 4度C'!$A:$T,19,0)</f>
        <v>8.3333333333333329E-2</v>
      </c>
      <c r="F16" s="74">
        <f>VLOOKUP("新豐5線",'0605 4度C'!$A:$T,19,0)</f>
        <v>8.3333333333333329E-2</v>
      </c>
      <c r="G16" s="74">
        <f>VLOOKUP("新豐7線",'0605 4度C'!$A:$T,19,0)</f>
        <v>0.20833333333333334</v>
      </c>
      <c r="H16" s="74">
        <f>VLOOKUP("新豐3線",'0605 4度C'!$A:$T,19,0)</f>
        <v>8.3333333333333329E-2</v>
      </c>
      <c r="I16" s="74">
        <f>VLOOKUP("新豐1線",'0605 4度C'!$A:$T,19,0)</f>
        <v>0.20833333333333334</v>
      </c>
      <c r="J16" s="75">
        <f>VLOOKUP("新豐10線",'0605 4度C'!$A:$T,19,0)</f>
        <v>0.20833333333333334</v>
      </c>
      <c r="K16" s="76">
        <f>VLOOKUP("新豐8線",'0605 4度C'!$A:$T,19,0)</f>
        <v>8.3333333333333329E-2</v>
      </c>
      <c r="L16" s="77">
        <f>VLOOKUP("新豐9線",'0605 4度C'!$A:$T,19,0)</f>
        <v>8.3333333333333329E-2</v>
      </c>
      <c r="M16" s="78">
        <f>VLOOKUP("新豐4線",'0605 4度C'!$A:$T,19,0)</f>
        <v>8.3333333333333329E-2</v>
      </c>
    </row>
    <row r="17" spans="2:13" ht="17.25" customHeight="1">
      <c r="B17" s="573"/>
      <c r="C17" s="72" t="s">
        <v>490</v>
      </c>
      <c r="D17" s="76">
        <f>LOOKUP(2,1/(('0605 4度C'!$A:$A="新豐6線")*('0605 4度C'!$T:$T&lt;&gt;"")),'0605 4度C'!$T:$T)</f>
        <v>0.81944444444444442</v>
      </c>
      <c r="E17" s="74">
        <f>LOOKUP(2,1/(('0605 4度C'!$A:$A="新豐2線")*('0605 4度C'!$T:$T&lt;&gt;"")),'0605 4度C'!$T:$T)</f>
        <v>0.62083333333333335</v>
      </c>
      <c r="F17" s="74">
        <f>LOOKUP(2,1/(('0605 4度C'!$A:$A="新豐5線")*('0605 4度C'!$T:$T&lt;&gt;"")),'0605 4度C'!$T:$T)</f>
        <v>0.79652777777777783</v>
      </c>
      <c r="G17" s="74">
        <f>LOOKUP(2,1/(('0605 4度C'!$A:$A="新豐7線")*('0605 4度C'!$T:$T&lt;&gt;"")),'0605 4度C'!$T:$T)</f>
        <v>0.77986111111111112</v>
      </c>
      <c r="H17" s="74">
        <f>LOOKUP(2,1/(('0605 4度C'!$A:$A="新豐3線")*('0605 4度C'!$T:$T&lt;&gt;"")),'0605 4度C'!$T:$T)</f>
        <v>0.33611111111111108</v>
      </c>
      <c r="I17" s="74">
        <f>LOOKUP(2,1/(('0605 4度C'!$A:$A="新豐1線")*('0605 4度C'!$T:$T&lt;&gt;"")),'0605 4度C'!$T:$T)</f>
        <v>0.81180555555555556</v>
      </c>
      <c r="J17" s="75">
        <f>LOOKUP(2,1/(('0605 4度C'!$A:$A="新豐10線")*('0605 4度C'!$T:$T&lt;&gt;"")),'0605 4度C'!$T:$T)</f>
        <v>0.36458333333333326</v>
      </c>
      <c r="K17" s="73">
        <f>LOOKUP(2,1/(('0605 4度C'!$A:$A="新豐8線")*('0605 4度C'!$T:$T&lt;&gt;"")),'0605 4度C'!$T:$T)</f>
        <v>0.56180555555555545</v>
      </c>
      <c r="L17" s="74">
        <f>LOOKUP(2,1/(('0605 4度C'!$A:$A="新豐9線")*('0605 4度C'!$T:$T&lt;&gt;"")),'0605 4度C'!$T:$T)</f>
        <v>0.58541666666666659</v>
      </c>
      <c r="M17" s="75">
        <f>LOOKUP(2,1/(('0605 4度C'!$A:$A="新豐4線")*('0605 4度C'!$T:$T&lt;&gt;"")),'0605 4度C'!$T:$T)</f>
        <v>0.51458333333333339</v>
      </c>
    </row>
    <row r="18" spans="2:13" ht="17.25" customHeight="1">
      <c r="B18" s="551" t="s">
        <v>491</v>
      </c>
      <c r="C18" s="79" t="s">
        <v>492</v>
      </c>
      <c r="D18" s="80">
        <f>SUMIFS('0605 4度C'!$Y:$Y,'0605 4度C'!$A:$A,"新豐6線",'0605 4度C'!$B:$B,"平均")</f>
        <v>0</v>
      </c>
      <c r="E18" s="81">
        <f>SUMIFS('0605 4度C'!$Y:$Y,'0605 4度C'!$A:$A,"新豐2線",'0605 4度C'!$B:$B,"平均")</f>
        <v>0</v>
      </c>
      <c r="F18" s="81">
        <f>SUMIFS('0605 4度C'!$Y:$Y,'0605 4度C'!$A:$A,"新豐5線",'0605 4度C'!$B:$B,"平均")</f>
        <v>0</v>
      </c>
      <c r="G18" s="81">
        <f>SUMIFS('0605 4度C'!$Y:$Y,'0605 4度C'!$A:$A,"新豐7線",'0605 4度C'!$B:$B,"平均")</f>
        <v>0</v>
      </c>
      <c r="H18" s="81">
        <f>SUMIFS('0605 4度C'!$Y:$Y,'0605 4度C'!$A:$A,"新豐3線",'0605 4度C'!$B:$B,"平均")</f>
        <v>0</v>
      </c>
      <c r="I18" s="81">
        <f>SUMIFS('0605 4度C'!$Y:$Y,'0605 4度C'!$A:$A,"新豐1線",'0605 4度C'!$B:$B,"平均")</f>
        <v>0</v>
      </c>
      <c r="J18" s="82">
        <f>SUMIFS('0605 4度C'!$Y:$Y,'0605 4度C'!$A:$A,"新豐10線",'0605 4度C'!$B:$B,"平均")</f>
        <v>0</v>
      </c>
      <c r="K18" s="83">
        <f>SUMIFS('0605 4度C'!$Y:$Y,'0605 4度C'!$A:$A,"新豐8線",'0605 4度C'!$B:$B,"平均")</f>
        <v>0</v>
      </c>
      <c r="L18" s="81">
        <f>SUMIFS('0605 4度C'!$Y:$Y,'0605 4度C'!$A:$A,"新豐9線",'0605 4度C'!$B:$B,"平均")</f>
        <v>0</v>
      </c>
      <c r="M18" s="82">
        <f>SUMIFS('0605 4度C'!$Y:$Y,'0605 4度C'!$A:$A,"新豐4線",'0605 4度C'!$B:$B,"平均")</f>
        <v>0</v>
      </c>
    </row>
    <row r="19" spans="2:13" ht="17.25" customHeight="1">
      <c r="B19" s="552"/>
      <c r="C19" s="79" t="s">
        <v>493</v>
      </c>
      <c r="D19" s="80">
        <f>SUMIFS('0605 4度C'!$Z:$Z,'0605 4度C'!$A:$A,"新豐6線",'0605 4度C'!$B:$B,"平均")</f>
        <v>0</v>
      </c>
      <c r="E19" s="81">
        <f>SUMIFS('0605 4度C'!$Z:$Z,'0605 4度C'!$A:$A,"新豐2線",'0605 4度C'!$B:$B,"平均")</f>
        <v>0</v>
      </c>
      <c r="F19" s="81">
        <f>SUMIFS('0605 4度C'!$Z:$Z,'0605 4度C'!$A:$A,"新豐5線",'0605 4度C'!$B:$B,"平均")</f>
        <v>0</v>
      </c>
      <c r="G19" s="81">
        <f>SUMIFS('0605 4度C'!$Z:$Z,'0605 4度C'!$A:$A,"新豐7線",'0605 4度C'!$B:$B,"平均")</f>
        <v>0</v>
      </c>
      <c r="H19" s="81">
        <f>SUMIFS('0605 4度C'!$Z:$Z,'0605 4度C'!$A:$A,"新豐3線",'0605 4度C'!$B:$B,"平均")</f>
        <v>0</v>
      </c>
      <c r="I19" s="81">
        <f>SUMIFS('0605 4度C'!$Z:$Z,'0605 4度C'!$A:$A,"新豐1線",'0605 4度C'!$B:$B,"平均")</f>
        <v>0</v>
      </c>
      <c r="J19" s="82">
        <f>SUMIFS('0605 4度C'!$Z:$Z,'0605 4度C'!$A:$A,"新豐10線",'0605 4度C'!$B:$B,"平均")</f>
        <v>0</v>
      </c>
      <c r="K19" s="83">
        <f>SUMIFS('0605 4度C'!$Z:$Z,'0605 4度C'!$A:$A,"新豐8線",'0605 4度C'!$B:$B,"平均")</f>
        <v>0</v>
      </c>
      <c r="L19" s="81">
        <f>SUMIFS('0605 4度C'!$Z:$Z,'0605 4度C'!$A:$A,"新豐9線",'0605 4度C'!$B:$B,"平均")</f>
        <v>0</v>
      </c>
      <c r="M19" s="82">
        <f>SUMIFS('0605 4度C'!$Z:$Z,'0605 4度C'!$A:$A,"新豐4線",'0605 4度C'!$B:$B,"平均")</f>
        <v>0</v>
      </c>
    </row>
    <row r="20" spans="2:13" ht="17.25" customHeight="1">
      <c r="B20" s="551" t="s">
        <v>494</v>
      </c>
      <c r="C20" s="79" t="s">
        <v>495</v>
      </c>
      <c r="D20" s="80">
        <f>SUMIFS('0605 4度C'!$AC:$AC,'0605 4度C'!$A:$A,"新豐6線",'0605 4度C'!$B:$B,"平均")</f>
        <v>3</v>
      </c>
      <c r="E20" s="81">
        <f>SUMIFS('0605 4度C'!$AC:$AC,'0605 4度C'!$A:$A,"新豐2線",'0605 4度C'!$B:$B,"平均")</f>
        <v>4</v>
      </c>
      <c r="F20" s="81">
        <f>SUMIFS('0605 4度C'!$AC:$AC,'0605 4度C'!$A:$A,"新豐5線",'0605 4度C'!$B:$B,"平均")</f>
        <v>7</v>
      </c>
      <c r="G20" s="81">
        <f>SUMIFS('0605 4度C'!$AC:$AC,'0605 4度C'!$A:$A,"新豐7線",'0605 4度C'!$B:$B,"平均")</f>
        <v>6</v>
      </c>
      <c r="H20" s="81">
        <f>SUMIFS('0605 4度C'!$AC:$AC,'0605 4度C'!$A:$A,"新豐3線",'0605 4度C'!$B:$B,"平均")</f>
        <v>4</v>
      </c>
      <c r="I20" s="81">
        <f>SUMIFS('0605 4度C'!$AC:$AC,'0605 4度C'!$A:$A,"新豐1線",'0605 4度C'!$B:$B,"平均")</f>
        <v>7</v>
      </c>
      <c r="J20" s="82">
        <f>SUMIFS('0605 4度C'!$AC:$AC,'0605 4度C'!$A:$A,"新豐10線",'0605 4度C'!$B:$B,"平均")</f>
        <v>5</v>
      </c>
      <c r="K20" s="83">
        <f>SUMIFS('0605 4度C'!$AC:$AC,'0605 4度C'!$A:$A,"新豐8線",'0605 4度C'!$B:$B,"平均")</f>
        <v>5</v>
      </c>
      <c r="L20" s="81">
        <f>SUMIFS('0605 4度C'!$AC:$AC,'0605 4度C'!$A:$A,"新豐9線",'0605 4度C'!$B:$B,"平均")</f>
        <v>6</v>
      </c>
      <c r="M20" s="82">
        <f>SUMIFS('0605 4度C'!$AC:$AC,'0605 4度C'!$A:$A,"新豐4線",'0605 4度C'!$B:$B,"平均")</f>
        <v>5</v>
      </c>
    </row>
    <row r="21" spans="2:13" ht="17.25" customHeight="1">
      <c r="B21" s="552"/>
      <c r="C21" s="79" t="s">
        <v>496</v>
      </c>
      <c r="D21" s="80">
        <f>SUMIFS('0605 4度C'!$AD:$AD,'0605 4度C'!$A:$A,"新豐6線",'0605 4度C'!$B:$B,"平均")</f>
        <v>0</v>
      </c>
      <c r="E21" s="81">
        <f>SUMIFS('0605 4度C'!$AD:$AD,'0605 4度C'!$A:$A,"新豐2線",'0605 4度C'!$B:$B,"平均")</f>
        <v>0</v>
      </c>
      <c r="F21" s="81">
        <f>SUMIFS('0605 4度C'!$AD:$AD,'0605 4度C'!$A:$A,"新豐5線",'0605 4度C'!$B:$B,"平均")</f>
        <v>0</v>
      </c>
      <c r="G21" s="81">
        <f>SUMIFS('0605 4度C'!$AD:$AD,'0605 4度C'!$A:$A,"新豐7線",'0605 4度C'!$B:$B,"平均")</f>
        <v>0</v>
      </c>
      <c r="H21" s="81">
        <f>SUMIFS('0605 4度C'!$AD:$AD,'0605 4度C'!$A:$A,"新豐3線",'0605 4度C'!$B:$B,"平均")</f>
        <v>0</v>
      </c>
      <c r="I21" s="81">
        <f>SUMIFS('0605 4度C'!$AD:$AD,'0605 4度C'!$A:$A,"新豐1線",'0605 4度C'!$B:$B,"平均")</f>
        <v>0</v>
      </c>
      <c r="J21" s="82">
        <f>SUMIFS('0605 4度C'!$AD:$AD,'0605 4度C'!$A:$A,"新豐10線",'0605 4度C'!$B:$B,"平均")</f>
        <v>0</v>
      </c>
      <c r="K21" s="83">
        <f>SUMIFS('0605 4度C'!$AD:$AD,'0605 4度C'!$A:$A,"新豐8線",'0605 4度C'!$B:$B,"平均")</f>
        <v>0</v>
      </c>
      <c r="L21" s="81">
        <f>SUMIFS('0605 4度C'!$AD:$AD,'0605 4度C'!$A:$A,"新豐9線",'0605 4度C'!$B:$B,"平均")</f>
        <v>0</v>
      </c>
      <c r="M21" s="82">
        <f>SUMIFS('0605 4度C'!$AD:$AD,'0605 4度C'!$A:$A,"新豐4線",'0605 4度C'!$B:$B,"平均")</f>
        <v>0</v>
      </c>
    </row>
    <row r="22" spans="2:13" ht="17.25" customHeight="1">
      <c r="B22" s="553" t="s">
        <v>497</v>
      </c>
      <c r="C22" s="554"/>
      <c r="D22" s="84">
        <f>SUMIFS('0605 4度C'!$I:$I,'0605 4度C'!$A:$A,"新豐6線",'0605 4度C'!$B:$B,"平均")</f>
        <v>15.333333333333334</v>
      </c>
      <c r="E22" s="85">
        <f>SUMIFS('0605 4度C'!$I:$I,'0605 4度C'!$A:$A,"新豐2線",'0605 4度C'!$B:$B,"平均")</f>
        <v>17.25</v>
      </c>
      <c r="F22" s="85">
        <f>SUMIFS('0605 4度C'!$I:$I,'0605 4度C'!$A:$A,"新豐5線",'0605 4度C'!$B:$B,"平均")</f>
        <v>18.714285714285715</v>
      </c>
      <c r="G22" s="85">
        <f>SUMIFS('0605 4度C'!$I:$I,'0605 4度C'!$A:$A,"新豐7線",'0605 4度C'!$B:$B,"平均")</f>
        <v>15.333333333333334</v>
      </c>
      <c r="H22" s="85">
        <f>SUMIFS('0605 4度C'!$I:$I,'0605 4度C'!$A:$A,"新豐3線",'0605 4度C'!$B:$B,"平均")</f>
        <v>10.75</v>
      </c>
      <c r="I22" s="85">
        <f>SUMIFS('0605 4度C'!$I:$I,'0605 4度C'!$A:$A,"新豐1線",'0605 4度C'!$B:$B,"平均")</f>
        <v>18.285714285714285</v>
      </c>
      <c r="J22" s="86">
        <f>SUMIFS('0605 4度C'!$I:$I,'0605 4度C'!$A:$A,"新豐10線",'0605 4度C'!$B:$B,"平均")</f>
        <v>9.4</v>
      </c>
      <c r="K22" s="84">
        <f>SUMIFS('0605 4度C'!$I:$I,'0605 4度C'!$A:$A,"新豐8線",'0605 4度C'!$B:$B,"平均")</f>
        <v>17.2</v>
      </c>
      <c r="L22" s="85">
        <f>SUMIFS('0605 4度C'!$I:$I,'0605 4度C'!$A:$A,"新豐9線",'0605 4度C'!$B:$B,"平均")</f>
        <v>17.833333333333332</v>
      </c>
      <c r="M22" s="86">
        <f>SUMIFS('0605 4度C'!$I:$I,'0605 4度C'!$A:$A,"新豐4線",'0605 4度C'!$B:$B,"平均")</f>
        <v>15.8</v>
      </c>
    </row>
    <row r="23" spans="2:13" ht="17.25" customHeight="1">
      <c r="B23" s="553" t="s">
        <v>498</v>
      </c>
      <c r="C23" s="554"/>
      <c r="D23" s="87" t="s">
        <v>71</v>
      </c>
      <c r="E23" s="88" t="s">
        <v>72</v>
      </c>
      <c r="F23" s="88" t="s">
        <v>499</v>
      </c>
      <c r="G23" s="88" t="s">
        <v>500</v>
      </c>
      <c r="H23" s="88" t="s">
        <v>73</v>
      </c>
      <c r="I23" s="88" t="s">
        <v>71</v>
      </c>
      <c r="J23" s="89" t="s">
        <v>73</v>
      </c>
      <c r="K23" s="87" t="s">
        <v>501</v>
      </c>
      <c r="L23" s="88" t="s">
        <v>502</v>
      </c>
      <c r="M23" s="89" t="s">
        <v>501</v>
      </c>
    </row>
    <row r="24" spans="2:13" ht="17.25" customHeight="1">
      <c r="B24" s="553" t="s">
        <v>503</v>
      </c>
      <c r="C24" s="554"/>
      <c r="D24" s="87"/>
      <c r="E24" s="88"/>
      <c r="F24" s="88" t="s">
        <v>504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505</v>
      </c>
      <c r="C25" s="556"/>
      <c r="D25" s="90"/>
      <c r="E25" s="91" t="s">
        <v>506</v>
      </c>
      <c r="F25" s="549" t="s">
        <v>507</v>
      </c>
      <c r="G25" s="550"/>
      <c r="H25" s="91" t="s">
        <v>508</v>
      </c>
      <c r="I25" s="91" t="s">
        <v>509</v>
      </c>
      <c r="J25" s="92" t="s">
        <v>510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5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7"/>
  <sheetViews>
    <sheetView zoomScale="80" zoomScaleNormal="80" workbookViewId="0">
      <pane ySplit="4" topLeftCell="A5" activePane="bottomLeft" state="frozen"/>
      <selection activeCell="B4" sqref="B4:B8"/>
      <selection pane="bottomLeft" activeCell="B3" sqref="B3:B8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511</v>
      </c>
      <c r="B1" s="1"/>
      <c r="C1" s="2" t="s">
        <v>512</v>
      </c>
      <c r="D1" s="3">
        <f>SUM(F5:F66)</f>
        <v>148122</v>
      </c>
      <c r="E1" s="161" t="s">
        <v>513</v>
      </c>
      <c r="F1" s="1">
        <f>SUM(G5:G66)</f>
        <v>5087666.6099999994</v>
      </c>
      <c r="G1" s="1" t="s">
        <v>514</v>
      </c>
      <c r="H1" s="4">
        <f>L8+L13+L46+L54+L21+L60+L34+L41+L28+L66</f>
        <v>155.90000000000003</v>
      </c>
      <c r="I1" s="663" t="s">
        <v>515</v>
      </c>
      <c r="J1" s="663"/>
      <c r="K1" s="663"/>
      <c r="L1" s="663" t="s">
        <v>516</v>
      </c>
      <c r="M1" s="663"/>
      <c r="N1" s="663"/>
      <c r="O1" s="663" t="s">
        <v>517</v>
      </c>
      <c r="P1" s="663"/>
      <c r="Q1" s="663"/>
      <c r="R1" s="663"/>
      <c r="S1" s="663" t="s">
        <v>518</v>
      </c>
      <c r="T1" s="663"/>
      <c r="U1" s="663"/>
      <c r="V1" s="663"/>
      <c r="W1" s="663"/>
      <c r="X1" s="663"/>
      <c r="Y1" s="5" t="s">
        <v>519</v>
      </c>
      <c r="Z1" s="6" t="s">
        <v>520</v>
      </c>
      <c r="AA1" s="664" t="s">
        <v>521</v>
      </c>
      <c r="AB1" s="664"/>
      <c r="AC1" s="188" t="s">
        <v>519</v>
      </c>
      <c r="AD1" s="6" t="s">
        <v>522</v>
      </c>
      <c r="AE1" s="663" t="s">
        <v>523</v>
      </c>
      <c r="AF1" s="665"/>
      <c r="AG1" s="665"/>
    </row>
    <row r="2" spans="1:33" ht="26.25" customHeight="1">
      <c r="A2" s="27">
        <v>46178</v>
      </c>
      <c r="B2" s="28" t="s">
        <v>524</v>
      </c>
      <c r="C2" s="2" t="s">
        <v>525</v>
      </c>
      <c r="D2" s="8">
        <f>AVERAGE(N8,N13,N46,N54,N21,N60,N28,N34,N41,N66)</f>
        <v>146.35776642123309</v>
      </c>
      <c r="E2" s="9" t="s">
        <v>0</v>
      </c>
      <c r="F2" s="10">
        <f>F1/D1</f>
        <v>34.34781200631911</v>
      </c>
      <c r="G2" s="1" t="s">
        <v>526</v>
      </c>
      <c r="H2" s="170">
        <f>COUNT(H5:H66)</f>
        <v>3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SUM(Y8+Y13+Y21+Y28+Y34+Y41+Y46+Y54+Y60+Y66)</f>
        <v>0</v>
      </c>
      <c r="Z2" s="11">
        <f>SUM(Z8+Z13+Z21+Z28+Z34+Z41+Z46+Z54+Z60+Z66)</f>
        <v>0</v>
      </c>
      <c r="AA2" s="664"/>
      <c r="AB2" s="664"/>
      <c r="AC2" s="11">
        <f>SUM(AC8+AC13+AC21+AC28+AC34+AC41+AC46+AC54+AC60+AC66)</f>
        <v>52</v>
      </c>
      <c r="AD2" s="11">
        <f>SUM(AD8+AD13+AD21+AD28+AD34+AD41+AD46+AD54+AD60+AD66)</f>
        <v>0</v>
      </c>
      <c r="AE2" s="665"/>
      <c r="AF2" s="665"/>
      <c r="AG2" s="665"/>
    </row>
    <row r="3" spans="1:33" ht="40.5" customHeight="1">
      <c r="A3" s="617" t="s">
        <v>527</v>
      </c>
      <c r="B3" s="617" t="s">
        <v>528</v>
      </c>
      <c r="C3" s="617" t="s">
        <v>529</v>
      </c>
      <c r="D3" s="617"/>
      <c r="E3" s="661" t="s">
        <v>530</v>
      </c>
      <c r="F3" s="617" t="s">
        <v>531</v>
      </c>
      <c r="G3" s="661" t="s">
        <v>532</v>
      </c>
      <c r="H3" s="654" t="s">
        <v>533</v>
      </c>
      <c r="I3" s="652" t="s">
        <v>534</v>
      </c>
      <c r="J3" s="649" t="s">
        <v>535</v>
      </c>
      <c r="K3" s="659" t="s">
        <v>525</v>
      </c>
      <c r="L3" s="652" t="s">
        <v>536</v>
      </c>
      <c r="M3" s="649" t="s">
        <v>537</v>
      </c>
      <c r="N3" s="659" t="s">
        <v>484</v>
      </c>
      <c r="O3" s="652" t="s">
        <v>538</v>
      </c>
      <c r="P3" s="659" t="s">
        <v>525</v>
      </c>
      <c r="Q3" s="650" t="s">
        <v>539</v>
      </c>
      <c r="R3" s="630" t="s">
        <v>540</v>
      </c>
      <c r="S3" s="617" t="s">
        <v>1</v>
      </c>
      <c r="T3" s="617"/>
      <c r="U3" s="654" t="s">
        <v>2</v>
      </c>
      <c r="V3" s="654" t="s">
        <v>541</v>
      </c>
      <c r="W3" s="617" t="s">
        <v>542</v>
      </c>
      <c r="X3" s="617"/>
      <c r="Y3" s="655" t="s">
        <v>543</v>
      </c>
      <c r="Z3" s="614"/>
      <c r="AA3" s="656" t="s">
        <v>544</v>
      </c>
      <c r="AB3" s="657"/>
      <c r="AC3" s="655" t="s">
        <v>545</v>
      </c>
      <c r="AD3" s="614"/>
      <c r="AE3" s="649" t="s">
        <v>537</v>
      </c>
      <c r="AF3" s="650" t="s">
        <v>546</v>
      </c>
      <c r="AG3" s="630" t="s">
        <v>540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161" t="s">
        <v>3</v>
      </c>
      <c r="T4" s="161" t="s">
        <v>4</v>
      </c>
      <c r="U4" s="654"/>
      <c r="V4" s="654"/>
      <c r="W4" s="161" t="s">
        <v>547</v>
      </c>
      <c r="X4" s="161" t="s">
        <v>548</v>
      </c>
      <c r="Y4" s="159" t="s">
        <v>549</v>
      </c>
      <c r="Z4" s="159" t="s">
        <v>550</v>
      </c>
      <c r="AA4" s="658"/>
      <c r="AB4" s="657"/>
      <c r="AC4" s="159" t="s">
        <v>551</v>
      </c>
      <c r="AD4" s="159" t="s">
        <v>552</v>
      </c>
      <c r="AE4" s="649"/>
      <c r="AF4" s="650"/>
      <c r="AG4" s="630"/>
    </row>
    <row r="5" spans="1:33">
      <c r="A5" s="651" t="s">
        <v>553</v>
      </c>
      <c r="B5" s="29" t="s">
        <v>15</v>
      </c>
      <c r="C5" s="653" t="s">
        <v>17</v>
      </c>
      <c r="D5" s="653"/>
      <c r="E5" s="29">
        <v>50.67</v>
      </c>
      <c r="F5" s="169">
        <v>1230</v>
      </c>
      <c r="G5" s="161">
        <f t="shared" ref="G5:G7" si="0">E5*F5</f>
        <v>62324.1</v>
      </c>
      <c r="H5" s="33" t="s">
        <v>57</v>
      </c>
      <c r="I5" s="167">
        <v>15</v>
      </c>
      <c r="J5" s="31">
        <v>2000</v>
      </c>
      <c r="K5" s="12">
        <f t="shared" ref="K5:K66" si="1">J5/I5</f>
        <v>133.33333333333334</v>
      </c>
      <c r="L5" s="167">
        <v>15</v>
      </c>
      <c r="M5" s="13">
        <f t="shared" ref="M5:M7" si="2">F5/V5*60</f>
        <v>1942.1052631578932</v>
      </c>
      <c r="N5" s="12">
        <f t="shared" ref="N5:N66" si="3">M5/L5</f>
        <v>129.47368421052622</v>
      </c>
      <c r="O5" s="14">
        <f t="shared" ref="O5:O66" si="4">L5-I5</f>
        <v>0</v>
      </c>
      <c r="P5" s="15">
        <f t="shared" ref="P5:P66" si="5">N5-K5</f>
        <v>-3.8596491228071272</v>
      </c>
      <c r="Q5" s="160">
        <f t="shared" ref="Q5:Q66" si="6">N5/K5</f>
        <v>0.9710526315789465</v>
      </c>
      <c r="R5" s="615">
        <f>Q8</f>
        <v>0.96728311162521685</v>
      </c>
      <c r="S5" s="34">
        <v>0.70833333333333337</v>
      </c>
      <c r="T5" s="34">
        <v>0.73472222222222228</v>
      </c>
      <c r="U5" s="161"/>
      <c r="V5" s="168">
        <f t="shared" ref="V5:V7" si="7">(T5-S5)*24*60</f>
        <v>38.000000000000028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3" si="8">M5-J5</f>
        <v>-57.894736842106795</v>
      </c>
      <c r="AF5" s="160">
        <f t="shared" ref="AF5:AF66" si="9">M5/J5</f>
        <v>0.97105263157894661</v>
      </c>
      <c r="AG5" s="615">
        <f>AF8</f>
        <v>0.96728311162521696</v>
      </c>
    </row>
    <row r="6" spans="1:33">
      <c r="A6" s="652" t="s">
        <v>554</v>
      </c>
      <c r="B6" s="29" t="s">
        <v>15</v>
      </c>
      <c r="C6" s="653" t="s">
        <v>26</v>
      </c>
      <c r="D6" s="653"/>
      <c r="E6" s="29">
        <v>50.92</v>
      </c>
      <c r="F6" s="169">
        <v>1796</v>
      </c>
      <c r="G6" s="161">
        <f t="shared" si="0"/>
        <v>91452.32</v>
      </c>
      <c r="H6" s="33" t="s">
        <v>57</v>
      </c>
      <c r="I6" s="167">
        <v>15</v>
      </c>
      <c r="J6" s="31">
        <v>2000</v>
      </c>
      <c r="K6" s="12">
        <f t="shared" si="1"/>
        <v>133.33333333333334</v>
      </c>
      <c r="L6" s="167">
        <v>15</v>
      </c>
      <c r="M6" s="13">
        <f t="shared" si="2"/>
        <v>1924.2857142857158</v>
      </c>
      <c r="N6" s="12">
        <f t="shared" si="3"/>
        <v>128.28571428571439</v>
      </c>
      <c r="O6" s="14">
        <f t="shared" si="4"/>
        <v>0</v>
      </c>
      <c r="P6" s="15">
        <f t="shared" si="5"/>
        <v>-5.0476190476189515</v>
      </c>
      <c r="Q6" s="160">
        <f t="shared" si="6"/>
        <v>0.96214285714285785</v>
      </c>
      <c r="R6" s="615"/>
      <c r="S6" s="34">
        <v>0.73958333333333337</v>
      </c>
      <c r="T6" s="34">
        <v>0.77847222222222223</v>
      </c>
      <c r="U6" s="161">
        <f t="shared" ref="U6:U7" si="10">IF(S6=TIME(17,0,0),"",(S6-T5)*24*60)</f>
        <v>6.9999999999999751</v>
      </c>
      <c r="V6" s="168">
        <f t="shared" si="7"/>
        <v>55.999999999999957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-75.714285714284188</v>
      </c>
      <c r="AF6" s="160">
        <f t="shared" si="9"/>
        <v>0.96214285714285785</v>
      </c>
      <c r="AG6" s="615"/>
    </row>
    <row r="7" spans="1:33">
      <c r="A7" s="652" t="s">
        <v>555</v>
      </c>
      <c r="B7" s="29" t="s">
        <v>15</v>
      </c>
      <c r="C7" s="644" t="s">
        <v>31</v>
      </c>
      <c r="D7" s="645"/>
      <c r="E7" s="29">
        <v>50.98</v>
      </c>
      <c r="F7" s="169">
        <v>1679</v>
      </c>
      <c r="G7" s="161">
        <f t="shared" si="0"/>
        <v>85595.42</v>
      </c>
      <c r="H7" s="33" t="s">
        <v>57</v>
      </c>
      <c r="I7" s="167">
        <v>16</v>
      </c>
      <c r="J7" s="31">
        <v>2000</v>
      </c>
      <c r="K7" s="12">
        <f t="shared" si="1"/>
        <v>125</v>
      </c>
      <c r="L7" s="167">
        <v>16</v>
      </c>
      <c r="M7" s="13">
        <f t="shared" si="2"/>
        <v>1937.3076923076933</v>
      </c>
      <c r="N7" s="12">
        <f t="shared" si="3"/>
        <v>121.08173076923083</v>
      </c>
      <c r="O7" s="14">
        <f t="shared" si="4"/>
        <v>0</v>
      </c>
      <c r="P7" s="15">
        <f t="shared" si="5"/>
        <v>-3.9182692307691696</v>
      </c>
      <c r="Q7" s="160">
        <f t="shared" si="6"/>
        <v>0.96865384615384664</v>
      </c>
      <c r="R7" s="615"/>
      <c r="S7" s="34">
        <v>0.78333333333333333</v>
      </c>
      <c r="T7" s="34">
        <v>0.81944444444444442</v>
      </c>
      <c r="U7" s="161">
        <f t="shared" si="10"/>
        <v>6.9999999999999751</v>
      </c>
      <c r="V7" s="168">
        <f t="shared" si="7"/>
        <v>51.999999999999972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-62.692307692306713</v>
      </c>
      <c r="AF7" s="160">
        <f t="shared" si="9"/>
        <v>0.96865384615384664</v>
      </c>
      <c r="AG7" s="615"/>
    </row>
    <row r="8" spans="1:33">
      <c r="A8" s="652" t="s">
        <v>556</v>
      </c>
      <c r="B8" s="29" t="s">
        <v>557</v>
      </c>
      <c r="C8" s="618"/>
      <c r="D8" s="618"/>
      <c r="E8" s="162"/>
      <c r="F8" s="30"/>
      <c r="G8" s="12"/>
      <c r="H8" s="169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1934.5662232504339</v>
      </c>
      <c r="N8" s="12">
        <f t="shared" si="3"/>
        <v>126.16736238589786</v>
      </c>
      <c r="O8" s="14">
        <f t="shared" si="4"/>
        <v>0</v>
      </c>
      <c r="P8" s="15">
        <f t="shared" si="5"/>
        <v>-4.2674202227977958</v>
      </c>
      <c r="Q8" s="160">
        <f t="shared" si="6"/>
        <v>0.96728311162521685</v>
      </c>
      <c r="R8" s="615"/>
      <c r="S8" s="34"/>
      <c r="T8" s="34"/>
      <c r="U8" s="161"/>
      <c r="V8" s="168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-65.43377674956605</v>
      </c>
      <c r="AF8" s="160">
        <f t="shared" si="9"/>
        <v>0.96728311162521696</v>
      </c>
      <c r="AG8" s="615"/>
    </row>
    <row r="9" spans="1:33" ht="15.75" customHeight="1">
      <c r="A9" s="648" t="s">
        <v>558</v>
      </c>
      <c r="B9" s="29" t="s">
        <v>19</v>
      </c>
      <c r="C9" s="644" t="s">
        <v>20</v>
      </c>
      <c r="D9" s="645"/>
      <c r="E9" s="29">
        <v>39.619999999999997</v>
      </c>
      <c r="F9" s="169">
        <v>4674</v>
      </c>
      <c r="G9" s="161">
        <f t="shared" ref="G9:G12" si="11">E9*F9</f>
        <v>185183.87999999998</v>
      </c>
      <c r="H9" s="33" t="s">
        <v>57</v>
      </c>
      <c r="I9" s="167">
        <v>19</v>
      </c>
      <c r="J9" s="31">
        <v>1500</v>
      </c>
      <c r="K9" s="12">
        <f t="shared" si="1"/>
        <v>78.94736842105263</v>
      </c>
      <c r="L9" s="167">
        <v>19</v>
      </c>
      <c r="M9" s="13">
        <f t="shared" ref="M9:M12" si="12">F9/V9*60</f>
        <v>1430.8163265306121</v>
      </c>
      <c r="N9" s="12">
        <f t="shared" si="3"/>
        <v>75.306122448979579</v>
      </c>
      <c r="O9" s="14">
        <f t="shared" si="4"/>
        <v>0</v>
      </c>
      <c r="P9" s="15">
        <f t="shared" si="5"/>
        <v>-3.641245972073051</v>
      </c>
      <c r="Q9" s="160">
        <f t="shared" si="6"/>
        <v>0.95387755102040805</v>
      </c>
      <c r="R9" s="615">
        <f>Q13</f>
        <v>0.95399945911086137</v>
      </c>
      <c r="S9" s="34">
        <v>8.3333333333333329E-2</v>
      </c>
      <c r="T9" s="34">
        <v>0.21944444444444444</v>
      </c>
      <c r="U9" s="161"/>
      <c r="V9" s="168">
        <f t="shared" ref="V9:V12" si="13">(T9-S9)*24*60</f>
        <v>196.00000000000003</v>
      </c>
      <c r="W9" s="16">
        <f>T9</f>
        <v>0.21944444444444444</v>
      </c>
      <c r="X9" s="16">
        <f>S10</f>
        <v>0.23680555555555552</v>
      </c>
      <c r="Y9" s="16"/>
      <c r="Z9" s="16"/>
      <c r="AA9" s="617"/>
      <c r="AB9" s="617"/>
      <c r="AC9" s="35">
        <v>4</v>
      </c>
      <c r="AD9" s="18"/>
      <c r="AE9" s="14">
        <f t="shared" si="8"/>
        <v>-69.183673469387941</v>
      </c>
      <c r="AF9" s="160">
        <f t="shared" si="9"/>
        <v>0.95387755102040805</v>
      </c>
      <c r="AG9" s="615">
        <f>AF13</f>
        <v>0.95399945911086148</v>
      </c>
    </row>
    <row r="10" spans="1:33" ht="15.75" customHeight="1">
      <c r="A10" s="648" t="s">
        <v>559</v>
      </c>
      <c r="B10" s="29" t="s">
        <v>19</v>
      </c>
      <c r="C10" s="644" t="s">
        <v>83</v>
      </c>
      <c r="D10" s="645"/>
      <c r="E10" s="29">
        <v>39.46</v>
      </c>
      <c r="F10" s="169">
        <v>5183</v>
      </c>
      <c r="G10" s="161">
        <f t="shared" si="11"/>
        <v>204521.18</v>
      </c>
      <c r="H10" s="33" t="s">
        <v>57</v>
      </c>
      <c r="I10" s="167">
        <v>16</v>
      </c>
      <c r="J10" s="31">
        <v>1500</v>
      </c>
      <c r="K10" s="12">
        <f t="shared" si="1"/>
        <v>93.75</v>
      </c>
      <c r="L10" s="167">
        <v>16</v>
      </c>
      <c r="M10" s="13">
        <f t="shared" si="12"/>
        <v>1426.5137614678902</v>
      </c>
      <c r="N10" s="12">
        <f t="shared" si="3"/>
        <v>89.157110091743135</v>
      </c>
      <c r="O10" s="14">
        <f t="shared" si="4"/>
        <v>0</v>
      </c>
      <c r="P10" s="15">
        <f t="shared" si="5"/>
        <v>-4.5928899082568648</v>
      </c>
      <c r="Q10" s="160">
        <f t="shared" si="6"/>
        <v>0.95100917431192677</v>
      </c>
      <c r="R10" s="615"/>
      <c r="S10" s="34">
        <v>0.23680555555555552</v>
      </c>
      <c r="T10" s="34">
        <v>0.3881944444444444</v>
      </c>
      <c r="U10" s="161">
        <f t="shared" ref="U10:U12" si="14">IF(S10=TIME(17,0,0),"",(S10-T9)*24*60)</f>
        <v>24.99999999999995</v>
      </c>
      <c r="V10" s="168">
        <f t="shared" si="13"/>
        <v>217.99999999999997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-73.486238532109837</v>
      </c>
      <c r="AF10" s="160">
        <f t="shared" si="9"/>
        <v>0.95100917431192677</v>
      </c>
      <c r="AG10" s="615"/>
    </row>
    <row r="11" spans="1:33" ht="15.75" customHeight="1">
      <c r="A11" s="648" t="s">
        <v>559</v>
      </c>
      <c r="B11" s="29" t="s">
        <v>19</v>
      </c>
      <c r="C11" s="644" t="s">
        <v>21</v>
      </c>
      <c r="D11" s="645"/>
      <c r="E11" s="29">
        <v>39.799999999999997</v>
      </c>
      <c r="F11" s="169">
        <v>3500</v>
      </c>
      <c r="G11" s="161">
        <f t="shared" si="11"/>
        <v>139300</v>
      </c>
      <c r="H11" s="33">
        <v>2</v>
      </c>
      <c r="I11" s="167">
        <v>17</v>
      </c>
      <c r="J11" s="31">
        <v>1500</v>
      </c>
      <c r="K11" s="12">
        <f t="shared" si="1"/>
        <v>88.235294117647058</v>
      </c>
      <c r="L11" s="167">
        <v>17</v>
      </c>
      <c r="M11" s="13">
        <f t="shared" si="12"/>
        <v>1428.5714285714284</v>
      </c>
      <c r="N11" s="12">
        <f t="shared" si="3"/>
        <v>84.033613445378137</v>
      </c>
      <c r="O11" s="14">
        <f t="shared" si="4"/>
        <v>0</v>
      </c>
      <c r="P11" s="15">
        <f t="shared" si="5"/>
        <v>-4.2016806722689211</v>
      </c>
      <c r="Q11" s="160">
        <f t="shared" si="6"/>
        <v>0.95238095238095222</v>
      </c>
      <c r="R11" s="615"/>
      <c r="S11" s="34">
        <v>0.39305555555555549</v>
      </c>
      <c r="T11" s="34">
        <v>0.49513888888888885</v>
      </c>
      <c r="U11" s="161">
        <f t="shared" si="14"/>
        <v>6.9999999999999751</v>
      </c>
      <c r="V11" s="168">
        <f t="shared" si="13"/>
        <v>147.00000000000003</v>
      </c>
      <c r="W11" s="16">
        <f>T11</f>
        <v>0.49513888888888885</v>
      </c>
      <c r="X11" s="16">
        <f>S12</f>
        <v>0.53333333333333333</v>
      </c>
      <c r="Y11" s="16"/>
      <c r="Z11" s="16"/>
      <c r="AA11" s="617"/>
      <c r="AB11" s="617"/>
      <c r="AC11" s="35"/>
      <c r="AD11" s="18"/>
      <c r="AE11" s="14">
        <f t="shared" si="8"/>
        <v>-71.428571428571558</v>
      </c>
      <c r="AF11" s="160">
        <f t="shared" si="9"/>
        <v>0.95238095238095233</v>
      </c>
      <c r="AG11" s="615"/>
    </row>
    <row r="12" spans="1:33" ht="15.75" customHeight="1">
      <c r="A12" s="648" t="s">
        <v>559</v>
      </c>
      <c r="B12" s="29" t="s">
        <v>19</v>
      </c>
      <c r="C12" s="644" t="s">
        <v>21</v>
      </c>
      <c r="D12" s="645"/>
      <c r="E12" s="29">
        <v>39.799999999999997</v>
      </c>
      <c r="F12" s="169">
        <v>3020</v>
      </c>
      <c r="G12" s="161">
        <f t="shared" si="11"/>
        <v>120195.99999999999</v>
      </c>
      <c r="H12" s="33" t="s">
        <v>57</v>
      </c>
      <c r="I12" s="167">
        <v>17</v>
      </c>
      <c r="J12" s="31">
        <v>1500</v>
      </c>
      <c r="K12" s="12">
        <f t="shared" si="1"/>
        <v>88.235294117647058</v>
      </c>
      <c r="L12" s="167">
        <v>17</v>
      </c>
      <c r="M12" s="13">
        <f t="shared" si="12"/>
        <v>1438.0952380952376</v>
      </c>
      <c r="N12" s="12">
        <f t="shared" si="3"/>
        <v>84.593837535013975</v>
      </c>
      <c r="O12" s="14">
        <f t="shared" si="4"/>
        <v>0</v>
      </c>
      <c r="P12" s="15">
        <f t="shared" si="5"/>
        <v>-3.6414565826330829</v>
      </c>
      <c r="Q12" s="160">
        <f t="shared" si="6"/>
        <v>0.95873015873015843</v>
      </c>
      <c r="R12" s="615"/>
      <c r="S12" s="34">
        <v>0.53333333333333333</v>
      </c>
      <c r="T12" s="34">
        <v>0.62083333333333335</v>
      </c>
      <c r="U12" s="161">
        <f t="shared" si="14"/>
        <v>55.000000000000043</v>
      </c>
      <c r="V12" s="168">
        <f t="shared" si="13"/>
        <v>126.00000000000003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-61.904761904762381</v>
      </c>
      <c r="AF12" s="160">
        <f t="shared" si="9"/>
        <v>0.95873015873015843</v>
      </c>
      <c r="AG12" s="615"/>
    </row>
    <row r="13" spans="1:33" ht="16.5" customHeight="1">
      <c r="A13" s="648" t="s">
        <v>559</v>
      </c>
      <c r="B13" s="29" t="s">
        <v>560</v>
      </c>
      <c r="C13" s="618"/>
      <c r="D13" s="618"/>
      <c r="E13" s="162"/>
      <c r="F13" s="31"/>
      <c r="G13" s="13"/>
      <c r="H13" s="169"/>
      <c r="I13" s="23">
        <v>17.25</v>
      </c>
      <c r="J13" s="31">
        <v>1500</v>
      </c>
      <c r="K13" s="12">
        <f t="shared" si="1"/>
        <v>86.956521739130437</v>
      </c>
      <c r="L13" s="23">
        <v>17.25</v>
      </c>
      <c r="M13" s="13">
        <f>AVERAGE(M9:M12)</f>
        <v>1430.9991886662922</v>
      </c>
      <c r="N13" s="12">
        <f t="shared" si="3"/>
        <v>82.956474705292294</v>
      </c>
      <c r="O13" s="14">
        <f t="shared" si="4"/>
        <v>0</v>
      </c>
      <c r="P13" s="15">
        <f t="shared" si="5"/>
        <v>-4.0000470338381433</v>
      </c>
      <c r="Q13" s="160">
        <f t="shared" si="6"/>
        <v>0.95399945911086137</v>
      </c>
      <c r="R13" s="615"/>
      <c r="S13" s="34"/>
      <c r="T13" s="34"/>
      <c r="U13" s="12"/>
      <c r="V13" s="168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-69.000811333707816</v>
      </c>
      <c r="AF13" s="160">
        <f t="shared" si="9"/>
        <v>0.95399945911086148</v>
      </c>
      <c r="AG13" s="615"/>
    </row>
    <row r="14" spans="1:33" ht="16.5" customHeight="1">
      <c r="A14" s="646" t="s">
        <v>561</v>
      </c>
      <c r="B14" s="169" t="s">
        <v>22</v>
      </c>
      <c r="C14" s="640" t="s">
        <v>23</v>
      </c>
      <c r="D14" s="640"/>
      <c r="E14" s="29">
        <v>41</v>
      </c>
      <c r="F14" s="169">
        <v>1528</v>
      </c>
      <c r="G14" s="161">
        <f t="shared" ref="G14:G20" si="15">E14*F14</f>
        <v>62648</v>
      </c>
      <c r="H14" s="33" t="s">
        <v>57</v>
      </c>
      <c r="I14" s="167">
        <v>26</v>
      </c>
      <c r="J14" s="31">
        <v>1500</v>
      </c>
      <c r="K14" s="12">
        <f t="shared" si="1"/>
        <v>57.692307692307693</v>
      </c>
      <c r="L14" s="167">
        <v>26</v>
      </c>
      <c r="M14" s="13">
        <f t="shared" ref="M14:M20" si="16">F14/V14*60</f>
        <v>1432.5000000000002</v>
      </c>
      <c r="N14" s="12">
        <f t="shared" si="3"/>
        <v>55.096153846153854</v>
      </c>
      <c r="O14" s="14">
        <f t="shared" si="4"/>
        <v>0</v>
      </c>
      <c r="P14" s="15">
        <f t="shared" si="5"/>
        <v>-2.5961538461538396</v>
      </c>
      <c r="Q14" s="160">
        <f t="shared" si="6"/>
        <v>0.95500000000000007</v>
      </c>
      <c r="R14" s="615">
        <f>Q21</f>
        <v>0.95932638724364339</v>
      </c>
      <c r="S14" s="34">
        <v>8.3333333333333329E-2</v>
      </c>
      <c r="T14" s="34">
        <v>0.12777777777777777</v>
      </c>
      <c r="U14" s="161"/>
      <c r="V14" s="168">
        <f t="shared" ref="V14:V20" si="17">(T14-S14)*24*60</f>
        <v>63.999999999999986</v>
      </c>
      <c r="W14" s="16">
        <f>T14</f>
        <v>0.12777777777777777</v>
      </c>
      <c r="X14" s="16">
        <f>S15</f>
        <v>0.14583333333333331</v>
      </c>
      <c r="Y14" s="21"/>
      <c r="Z14" s="21"/>
      <c r="AA14" s="617"/>
      <c r="AB14" s="617"/>
      <c r="AC14" s="35">
        <v>7</v>
      </c>
      <c r="AD14" s="18"/>
      <c r="AE14" s="14">
        <f t="shared" si="8"/>
        <v>-67.499999999999773</v>
      </c>
      <c r="AF14" s="160">
        <f t="shared" si="9"/>
        <v>0.95500000000000018</v>
      </c>
      <c r="AG14" s="615">
        <f>AF21</f>
        <v>0.95932638724364339</v>
      </c>
    </row>
    <row r="15" spans="1:33" ht="16.5" customHeight="1">
      <c r="A15" s="647" t="s">
        <v>562</v>
      </c>
      <c r="B15" s="169" t="s">
        <v>22</v>
      </c>
      <c r="C15" s="640" t="s">
        <v>87</v>
      </c>
      <c r="D15" s="640"/>
      <c r="E15" s="29">
        <v>38.619999999999997</v>
      </c>
      <c r="F15" s="169">
        <v>1834</v>
      </c>
      <c r="G15" s="161">
        <f t="shared" si="15"/>
        <v>70829.08</v>
      </c>
      <c r="H15" s="33" t="s">
        <v>57</v>
      </c>
      <c r="I15" s="167">
        <v>24</v>
      </c>
      <c r="J15" s="31">
        <v>1500</v>
      </c>
      <c r="K15" s="12">
        <f t="shared" si="1"/>
        <v>62.5</v>
      </c>
      <c r="L15" s="167">
        <v>24</v>
      </c>
      <c r="M15" s="13">
        <f t="shared" si="16"/>
        <v>1429.090909090909</v>
      </c>
      <c r="N15" s="12">
        <f t="shared" si="3"/>
        <v>59.54545454545454</v>
      </c>
      <c r="O15" s="14">
        <f t="shared" si="4"/>
        <v>0</v>
      </c>
      <c r="P15" s="15">
        <f t="shared" si="5"/>
        <v>-2.9545454545454604</v>
      </c>
      <c r="Q15" s="160">
        <f t="shared" si="6"/>
        <v>0.95272727272727264</v>
      </c>
      <c r="R15" s="615"/>
      <c r="S15" s="34">
        <v>0.14583333333333331</v>
      </c>
      <c r="T15" s="34">
        <v>0.19930555555555554</v>
      </c>
      <c r="U15" s="161">
        <f t="shared" ref="U15:U20" si="18">IF(S15=TIME(17,0,0),"",(S15-T14)*24*60)</f>
        <v>25.999999999999986</v>
      </c>
      <c r="V15" s="168">
        <f t="shared" si="17"/>
        <v>77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-70.909090909090992</v>
      </c>
      <c r="AF15" s="160">
        <f t="shared" si="9"/>
        <v>0.95272727272727264</v>
      </c>
      <c r="AG15" s="615"/>
    </row>
    <row r="16" spans="1:33" ht="16.5" customHeight="1">
      <c r="A16" s="647" t="s">
        <v>562</v>
      </c>
      <c r="B16" s="169" t="s">
        <v>15</v>
      </c>
      <c r="C16" s="640" t="s">
        <v>86</v>
      </c>
      <c r="D16" s="640"/>
      <c r="E16" s="29">
        <v>37.03</v>
      </c>
      <c r="F16" s="169">
        <v>2559</v>
      </c>
      <c r="G16" s="161">
        <f t="shared" si="15"/>
        <v>94759.77</v>
      </c>
      <c r="H16" s="33" t="s">
        <v>57</v>
      </c>
      <c r="I16" s="167">
        <v>13</v>
      </c>
      <c r="J16" s="31">
        <v>1500</v>
      </c>
      <c r="K16" s="12">
        <f t="shared" si="1"/>
        <v>115.38461538461539</v>
      </c>
      <c r="L16" s="167">
        <v>13</v>
      </c>
      <c r="M16" s="13">
        <f t="shared" si="16"/>
        <v>1434.9532710280371</v>
      </c>
      <c r="N16" s="12">
        <f t="shared" si="3"/>
        <v>110.38102084831054</v>
      </c>
      <c r="O16" s="14">
        <f t="shared" si="4"/>
        <v>0</v>
      </c>
      <c r="P16" s="15">
        <f t="shared" si="5"/>
        <v>-5.0035945363048455</v>
      </c>
      <c r="Q16" s="160">
        <f t="shared" si="6"/>
        <v>0.95663551401869129</v>
      </c>
      <c r="R16" s="615"/>
      <c r="S16" s="34">
        <v>0.2048611111111111</v>
      </c>
      <c r="T16" s="34">
        <v>0.27916666666666667</v>
      </c>
      <c r="U16" s="161">
        <f t="shared" si="18"/>
        <v>8.0000000000000107</v>
      </c>
      <c r="V16" s="168">
        <f t="shared" si="17"/>
        <v>107.00000000000001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-65.046728971962921</v>
      </c>
      <c r="AF16" s="160">
        <f t="shared" si="9"/>
        <v>0.9566355140186914</v>
      </c>
      <c r="AG16" s="615"/>
    </row>
    <row r="17" spans="1:33" ht="16.5" customHeight="1">
      <c r="A17" s="647" t="s">
        <v>562</v>
      </c>
      <c r="B17" s="169" t="s">
        <v>19</v>
      </c>
      <c r="C17" s="640" t="s">
        <v>267</v>
      </c>
      <c r="D17" s="640"/>
      <c r="E17" s="29">
        <v>39.520000000000003</v>
      </c>
      <c r="F17" s="169">
        <v>5017</v>
      </c>
      <c r="G17" s="161">
        <f t="shared" si="15"/>
        <v>198271.84000000003</v>
      </c>
      <c r="H17" s="33" t="s">
        <v>57</v>
      </c>
      <c r="I17" s="167">
        <v>19</v>
      </c>
      <c r="J17" s="31">
        <v>1500</v>
      </c>
      <c r="K17" s="12">
        <f t="shared" si="1"/>
        <v>78.94736842105263</v>
      </c>
      <c r="L17" s="167">
        <v>19</v>
      </c>
      <c r="M17" s="13">
        <f t="shared" si="16"/>
        <v>1433.4285714285711</v>
      </c>
      <c r="N17" s="12">
        <f t="shared" si="3"/>
        <v>75.443609022556373</v>
      </c>
      <c r="O17" s="14">
        <f t="shared" si="4"/>
        <v>0</v>
      </c>
      <c r="P17" s="15">
        <f t="shared" si="5"/>
        <v>-3.5037593984962569</v>
      </c>
      <c r="Q17" s="160">
        <f t="shared" si="6"/>
        <v>0.95561904761904737</v>
      </c>
      <c r="R17" s="615"/>
      <c r="S17" s="34">
        <v>0.28402777777777777</v>
      </c>
      <c r="T17" s="34">
        <v>0.42986111111111114</v>
      </c>
      <c r="U17" s="161">
        <f t="shared" si="18"/>
        <v>6.9999999999999751</v>
      </c>
      <c r="V17" s="168">
        <f t="shared" si="17"/>
        <v>210.00000000000006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-66.571428571428896</v>
      </c>
      <c r="AF17" s="160">
        <f t="shared" si="9"/>
        <v>0.95561904761904737</v>
      </c>
      <c r="AG17" s="615"/>
    </row>
    <row r="18" spans="1:33" ht="16.5" customHeight="1">
      <c r="A18" s="647" t="s">
        <v>562</v>
      </c>
      <c r="B18" s="169" t="s">
        <v>15</v>
      </c>
      <c r="C18" s="640" t="s">
        <v>25</v>
      </c>
      <c r="D18" s="640"/>
      <c r="E18" s="29">
        <v>53.68</v>
      </c>
      <c r="F18" s="169">
        <v>912</v>
      </c>
      <c r="G18" s="161">
        <f t="shared" si="15"/>
        <v>48956.159999999996</v>
      </c>
      <c r="H18" s="33" t="s">
        <v>57</v>
      </c>
      <c r="I18" s="167">
        <v>16</v>
      </c>
      <c r="J18" s="31">
        <v>1500</v>
      </c>
      <c r="K18" s="12">
        <f t="shared" si="1"/>
        <v>93.75</v>
      </c>
      <c r="L18" s="167">
        <v>16</v>
      </c>
      <c r="M18" s="13">
        <f t="shared" si="16"/>
        <v>1439.9999999999989</v>
      </c>
      <c r="N18" s="12">
        <f t="shared" si="3"/>
        <v>89.999999999999929</v>
      </c>
      <c r="O18" s="14">
        <f t="shared" si="4"/>
        <v>0</v>
      </c>
      <c r="P18" s="15">
        <f t="shared" si="5"/>
        <v>-3.7500000000000711</v>
      </c>
      <c r="Q18" s="160">
        <f t="shared" si="6"/>
        <v>0.95999999999999919</v>
      </c>
      <c r="R18" s="615"/>
      <c r="S18" s="34">
        <v>0.70833333333333337</v>
      </c>
      <c r="T18" s="34">
        <v>0.73472222222222228</v>
      </c>
      <c r="U18" s="161" t="str">
        <f t="shared" si="18"/>
        <v/>
      </c>
      <c r="V18" s="168">
        <f t="shared" si="17"/>
        <v>38.000000000000028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-60.000000000001137</v>
      </c>
      <c r="AF18" s="160">
        <f t="shared" si="9"/>
        <v>0.95999999999999919</v>
      </c>
      <c r="AG18" s="615"/>
    </row>
    <row r="19" spans="1:33" ht="16.5" customHeight="1">
      <c r="A19" s="647" t="s">
        <v>562</v>
      </c>
      <c r="B19" s="169" t="s">
        <v>15</v>
      </c>
      <c r="C19" s="171" t="s">
        <v>18</v>
      </c>
      <c r="D19" s="172"/>
      <c r="E19" s="29">
        <v>52.86</v>
      </c>
      <c r="F19" s="169">
        <v>1172</v>
      </c>
      <c r="G19" s="161">
        <f t="shared" si="15"/>
        <v>61951.92</v>
      </c>
      <c r="H19" s="33" t="s">
        <v>57</v>
      </c>
      <c r="I19" s="167">
        <v>16</v>
      </c>
      <c r="J19" s="31">
        <v>2000</v>
      </c>
      <c r="K19" s="12">
        <f t="shared" si="1"/>
        <v>125</v>
      </c>
      <c r="L19" s="167">
        <v>16</v>
      </c>
      <c r="M19" s="13">
        <f t="shared" si="16"/>
        <v>1953.3333333333317</v>
      </c>
      <c r="N19" s="12">
        <f t="shared" si="3"/>
        <v>122.08333333333323</v>
      </c>
      <c r="O19" s="14">
        <f t="shared" si="4"/>
        <v>0</v>
      </c>
      <c r="P19" s="15">
        <f t="shared" si="5"/>
        <v>-2.9166666666667709</v>
      </c>
      <c r="Q19" s="160">
        <f t="shared" si="6"/>
        <v>0.97666666666666579</v>
      </c>
      <c r="R19" s="615"/>
      <c r="S19" s="34">
        <v>0.73958333333333337</v>
      </c>
      <c r="T19" s="34">
        <v>0.76458333333333339</v>
      </c>
      <c r="U19" s="161">
        <f t="shared" si="18"/>
        <v>6.9999999999999751</v>
      </c>
      <c r="V19" s="168">
        <f t="shared" si="17"/>
        <v>36.000000000000028</v>
      </c>
      <c r="W19" s="16"/>
      <c r="X19" s="16"/>
      <c r="Y19" s="19"/>
      <c r="Z19" s="19"/>
      <c r="AA19" s="165"/>
      <c r="AB19" s="166"/>
      <c r="AC19" s="35"/>
      <c r="AD19" s="18"/>
      <c r="AE19" s="14">
        <f t="shared" si="8"/>
        <v>-46.666666666668334</v>
      </c>
      <c r="AF19" s="160">
        <f t="shared" si="9"/>
        <v>0.97666666666666579</v>
      </c>
      <c r="AG19" s="615"/>
    </row>
    <row r="20" spans="1:33" ht="16.5" customHeight="1">
      <c r="A20" s="647" t="s">
        <v>562</v>
      </c>
      <c r="B20" s="169" t="s">
        <v>15</v>
      </c>
      <c r="C20" s="171" t="s">
        <v>16</v>
      </c>
      <c r="D20" s="172"/>
      <c r="E20" s="29">
        <v>50.67</v>
      </c>
      <c r="F20" s="169">
        <v>1209</v>
      </c>
      <c r="G20" s="161">
        <f t="shared" si="15"/>
        <v>61260.03</v>
      </c>
      <c r="H20" s="33" t="s">
        <v>57</v>
      </c>
      <c r="I20" s="167">
        <v>17</v>
      </c>
      <c r="J20" s="31">
        <v>2000</v>
      </c>
      <c r="K20" s="12">
        <f t="shared" si="1"/>
        <v>117.64705882352941</v>
      </c>
      <c r="L20" s="167">
        <v>17</v>
      </c>
      <c r="M20" s="13">
        <f t="shared" si="16"/>
        <v>1908.9473684210514</v>
      </c>
      <c r="N20" s="12">
        <f t="shared" si="3"/>
        <v>112.29102167182656</v>
      </c>
      <c r="O20" s="14">
        <f t="shared" si="4"/>
        <v>0</v>
      </c>
      <c r="P20" s="15">
        <f t="shared" si="5"/>
        <v>-5.35603715170285</v>
      </c>
      <c r="Q20" s="160">
        <f t="shared" si="6"/>
        <v>0.95447368421052581</v>
      </c>
      <c r="R20" s="615"/>
      <c r="S20" s="34">
        <v>0.77013888888888893</v>
      </c>
      <c r="T20" s="34">
        <v>0.79652777777777783</v>
      </c>
      <c r="U20" s="161">
        <f t="shared" si="18"/>
        <v>7.9999999999999716</v>
      </c>
      <c r="V20" s="168">
        <f t="shared" si="17"/>
        <v>38.000000000000028</v>
      </c>
      <c r="W20" s="16"/>
      <c r="X20" s="16"/>
      <c r="Y20" s="19"/>
      <c r="Z20" s="19"/>
      <c r="AA20" s="165"/>
      <c r="AB20" s="166"/>
      <c r="AC20" s="35"/>
      <c r="AD20" s="18"/>
      <c r="AE20" s="14">
        <f t="shared" si="8"/>
        <v>-91.052631578948649</v>
      </c>
      <c r="AF20" s="160">
        <f t="shared" si="9"/>
        <v>0.9544736842105257</v>
      </c>
      <c r="AG20" s="615"/>
    </row>
    <row r="21" spans="1:33" ht="16.5" customHeight="1">
      <c r="A21" s="647" t="s">
        <v>562</v>
      </c>
      <c r="B21" s="29" t="s">
        <v>563</v>
      </c>
      <c r="C21" s="618"/>
      <c r="D21" s="618"/>
      <c r="E21" s="162"/>
      <c r="F21" s="30"/>
      <c r="G21" s="12"/>
      <c r="H21" s="169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1576.036207614557</v>
      </c>
      <c r="N21" s="12">
        <f t="shared" si="3"/>
        <v>84.215675216045028</v>
      </c>
      <c r="O21" s="14">
        <f t="shared" si="4"/>
        <v>0</v>
      </c>
      <c r="P21" s="15">
        <f t="shared" si="5"/>
        <v>-3.5705843259397056</v>
      </c>
      <c r="Q21" s="160">
        <f t="shared" si="6"/>
        <v>0.95932638724364339</v>
      </c>
      <c r="R21" s="615"/>
      <c r="S21" s="34"/>
      <c r="T21" s="34"/>
      <c r="U21" s="161"/>
      <c r="V21" s="168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-66.820935242585847</v>
      </c>
      <c r="AF21" s="160">
        <f t="shared" si="9"/>
        <v>0.95932638724364339</v>
      </c>
      <c r="AG21" s="615"/>
    </row>
    <row r="22" spans="1:33" ht="15.75" customHeight="1">
      <c r="A22" s="642" t="s">
        <v>564</v>
      </c>
      <c r="B22" s="29" t="s">
        <v>15</v>
      </c>
      <c r="C22" s="640" t="s">
        <v>24</v>
      </c>
      <c r="D22" s="640"/>
      <c r="E22" s="29">
        <v>54.09</v>
      </c>
      <c r="F22" s="169">
        <v>1174</v>
      </c>
      <c r="G22" s="161">
        <f t="shared" ref="G22:G27" si="19">E22*F22</f>
        <v>63501.66</v>
      </c>
      <c r="H22" s="33" t="s">
        <v>57</v>
      </c>
      <c r="I22" s="167">
        <v>17</v>
      </c>
      <c r="J22" s="31">
        <v>1500</v>
      </c>
      <c r="K22" s="12">
        <f t="shared" si="1"/>
        <v>88.235294117647058</v>
      </c>
      <c r="L22" s="167">
        <v>17</v>
      </c>
      <c r="M22" s="13">
        <f t="shared" ref="M22:M27" si="20">F22/V22*60</f>
        <v>1437.5510204081636</v>
      </c>
      <c r="N22" s="12">
        <f t="shared" si="3"/>
        <v>84.561824729891981</v>
      </c>
      <c r="O22" s="14">
        <f t="shared" si="4"/>
        <v>0</v>
      </c>
      <c r="P22" s="15">
        <f t="shared" si="5"/>
        <v>-3.6734693877550768</v>
      </c>
      <c r="Q22" s="160">
        <f t="shared" si="6"/>
        <v>0.95836734693877579</v>
      </c>
      <c r="R22" s="615">
        <f>Q28</f>
        <v>0.96002394162683113</v>
      </c>
      <c r="S22" s="34">
        <v>0.20833333333333334</v>
      </c>
      <c r="T22" s="34">
        <v>0.24236111111111111</v>
      </c>
      <c r="U22" s="161"/>
      <c r="V22" s="168">
        <f t="shared" ref="V22:V27" si="21">(T22-S22)*24*60</f>
        <v>48.999999999999986</v>
      </c>
      <c r="W22" s="21"/>
      <c r="X22" s="21"/>
      <c r="Y22" s="21"/>
      <c r="Z22" s="21"/>
      <c r="AA22" s="617"/>
      <c r="AB22" s="617"/>
      <c r="AC22" s="35">
        <v>6</v>
      </c>
      <c r="AD22" s="18"/>
      <c r="AE22" s="14">
        <f t="shared" si="8"/>
        <v>-62.448979591836405</v>
      </c>
      <c r="AF22" s="160">
        <f t="shared" si="9"/>
        <v>0.95836734693877568</v>
      </c>
      <c r="AG22" s="615">
        <f>AF28</f>
        <v>0.96002394162683125</v>
      </c>
    </row>
    <row r="23" spans="1:33" ht="15.75" customHeight="1">
      <c r="A23" s="643" t="s">
        <v>564</v>
      </c>
      <c r="B23" s="29" t="s">
        <v>15</v>
      </c>
      <c r="C23" s="640" t="s">
        <v>28</v>
      </c>
      <c r="D23" s="640"/>
      <c r="E23" s="29">
        <v>50.67</v>
      </c>
      <c r="F23" s="169">
        <v>1478</v>
      </c>
      <c r="G23" s="161">
        <f t="shared" si="19"/>
        <v>74890.260000000009</v>
      </c>
      <c r="H23" s="33" t="s">
        <v>57</v>
      </c>
      <c r="I23" s="167">
        <v>17</v>
      </c>
      <c r="J23" s="31">
        <v>2000</v>
      </c>
      <c r="K23" s="12">
        <f t="shared" si="1"/>
        <v>117.64705882352941</v>
      </c>
      <c r="L23" s="167">
        <v>17</v>
      </c>
      <c r="M23" s="13">
        <f t="shared" si="20"/>
        <v>1927.8260869565204</v>
      </c>
      <c r="N23" s="12">
        <f t="shared" si="3"/>
        <v>113.40153452685414</v>
      </c>
      <c r="O23" s="14">
        <f t="shared" si="4"/>
        <v>0</v>
      </c>
      <c r="P23" s="15">
        <f t="shared" si="5"/>
        <v>-4.2455242966752706</v>
      </c>
      <c r="Q23" s="160">
        <f t="shared" si="6"/>
        <v>0.96391304347826023</v>
      </c>
      <c r="R23" s="615"/>
      <c r="S23" s="34">
        <v>0.24583333333333332</v>
      </c>
      <c r="T23" s="34">
        <v>0.27777777777777779</v>
      </c>
      <c r="U23" s="161">
        <f t="shared" ref="U23:U27" si="22">IF(S23=TIME(17,0,0),"",(S23-T22)*24*60)</f>
        <v>4.9999999999999822</v>
      </c>
      <c r="V23" s="168">
        <f t="shared" si="21"/>
        <v>46.000000000000036</v>
      </c>
      <c r="W23" s="16"/>
      <c r="X23" s="161"/>
      <c r="Y23" s="161"/>
      <c r="Z23" s="161"/>
      <c r="AA23" s="617"/>
      <c r="AB23" s="617"/>
      <c r="AC23" s="35"/>
      <c r="AD23" s="18"/>
      <c r="AE23" s="14">
        <f t="shared" si="8"/>
        <v>-72.173913043479615</v>
      </c>
      <c r="AF23" s="160">
        <f t="shared" si="9"/>
        <v>0.96391304347826023</v>
      </c>
      <c r="AG23" s="615"/>
    </row>
    <row r="24" spans="1:33" ht="15.75" customHeight="1">
      <c r="A24" s="643" t="s">
        <v>564</v>
      </c>
      <c r="B24" s="29" t="s">
        <v>15</v>
      </c>
      <c r="C24" s="640" t="s">
        <v>29</v>
      </c>
      <c r="D24" s="640"/>
      <c r="E24" s="29">
        <v>57.73</v>
      </c>
      <c r="F24" s="169">
        <v>1748</v>
      </c>
      <c r="G24" s="161">
        <f t="shared" si="19"/>
        <v>100912.04</v>
      </c>
      <c r="H24" s="33" t="s">
        <v>57</v>
      </c>
      <c r="I24" s="167">
        <v>14</v>
      </c>
      <c r="J24" s="31">
        <v>2000</v>
      </c>
      <c r="K24" s="12">
        <f t="shared" si="1"/>
        <v>142.85714285714286</v>
      </c>
      <c r="L24" s="167">
        <v>14</v>
      </c>
      <c r="M24" s="13">
        <f t="shared" si="20"/>
        <v>1906.9090909090921</v>
      </c>
      <c r="N24" s="12">
        <f t="shared" si="3"/>
        <v>136.20779220779229</v>
      </c>
      <c r="O24" s="14">
        <f t="shared" si="4"/>
        <v>0</v>
      </c>
      <c r="P24" s="15">
        <f t="shared" si="5"/>
        <v>-6.6493506493505663</v>
      </c>
      <c r="Q24" s="160">
        <f t="shared" si="6"/>
        <v>0.953454545454546</v>
      </c>
      <c r="R24" s="615"/>
      <c r="S24" s="34">
        <v>0.28333333333333333</v>
      </c>
      <c r="T24" s="34">
        <v>0.32152777777777775</v>
      </c>
      <c r="U24" s="161">
        <f t="shared" si="22"/>
        <v>7.9999999999999716</v>
      </c>
      <c r="V24" s="168">
        <f t="shared" si="21"/>
        <v>54.999999999999964</v>
      </c>
      <c r="W24" s="16"/>
      <c r="X24" s="161"/>
      <c r="Y24" s="161"/>
      <c r="Z24" s="161"/>
      <c r="AA24" s="617"/>
      <c r="AB24" s="617"/>
      <c r="AC24" s="35"/>
      <c r="AD24" s="18"/>
      <c r="AE24" s="14">
        <f t="shared" si="8"/>
        <v>-93.090909090907871</v>
      </c>
      <c r="AF24" s="160">
        <f t="shared" si="9"/>
        <v>0.95345454545454611</v>
      </c>
      <c r="AG24" s="615"/>
    </row>
    <row r="25" spans="1:33" ht="15.75" customHeight="1">
      <c r="A25" s="643" t="s">
        <v>564</v>
      </c>
      <c r="B25" s="29" t="s">
        <v>15</v>
      </c>
      <c r="C25" s="640" t="s">
        <v>80</v>
      </c>
      <c r="D25" s="640"/>
      <c r="E25" s="29">
        <v>53.27</v>
      </c>
      <c r="F25" s="169">
        <v>1481</v>
      </c>
      <c r="G25" s="161">
        <f t="shared" si="19"/>
        <v>78892.87000000001</v>
      </c>
      <c r="H25" s="33" t="s">
        <v>57</v>
      </c>
      <c r="I25" s="167">
        <v>16</v>
      </c>
      <c r="J25" s="31">
        <v>2000</v>
      </c>
      <c r="K25" s="12">
        <f t="shared" si="1"/>
        <v>125</v>
      </c>
      <c r="L25" s="167">
        <v>16</v>
      </c>
      <c r="M25" s="13">
        <f t="shared" si="20"/>
        <v>1931.7391304347827</v>
      </c>
      <c r="N25" s="12">
        <f t="shared" si="3"/>
        <v>120.73369565217392</v>
      </c>
      <c r="O25" s="14">
        <f t="shared" si="4"/>
        <v>0</v>
      </c>
      <c r="P25" s="15">
        <f t="shared" si="5"/>
        <v>-4.2663043478260789</v>
      </c>
      <c r="Q25" s="160">
        <f t="shared" si="6"/>
        <v>0.96586956521739142</v>
      </c>
      <c r="R25" s="615"/>
      <c r="S25" s="34">
        <v>0.32499999999999996</v>
      </c>
      <c r="T25" s="34">
        <v>0.3569444444444444</v>
      </c>
      <c r="U25" s="161">
        <f t="shared" si="22"/>
        <v>4.9999999999999822</v>
      </c>
      <c r="V25" s="168">
        <f t="shared" si="21"/>
        <v>46</v>
      </c>
      <c r="W25" s="16"/>
      <c r="X25" s="161"/>
      <c r="Y25" s="161"/>
      <c r="Z25" s="161"/>
      <c r="AA25" s="617"/>
      <c r="AB25" s="617"/>
      <c r="AC25" s="35"/>
      <c r="AD25" s="18"/>
      <c r="AE25" s="14">
        <f t="shared" si="8"/>
        <v>-68.260869565217263</v>
      </c>
      <c r="AF25" s="160">
        <f t="shared" si="9"/>
        <v>0.96586956521739142</v>
      </c>
      <c r="AG25" s="615"/>
    </row>
    <row r="26" spans="1:33" ht="15.75" customHeight="1">
      <c r="A26" s="643" t="s">
        <v>564</v>
      </c>
      <c r="B26" s="29" t="s">
        <v>15</v>
      </c>
      <c r="C26" s="640" t="s">
        <v>30</v>
      </c>
      <c r="D26" s="640"/>
      <c r="E26" s="29">
        <v>50.49</v>
      </c>
      <c r="F26" s="169">
        <v>1533</v>
      </c>
      <c r="G26" s="161">
        <f t="shared" si="19"/>
        <v>77401.17</v>
      </c>
      <c r="H26" s="33" t="s">
        <v>57</v>
      </c>
      <c r="I26" s="167">
        <v>15</v>
      </c>
      <c r="J26" s="31">
        <v>2000</v>
      </c>
      <c r="K26" s="12">
        <f t="shared" si="1"/>
        <v>133.33333333333334</v>
      </c>
      <c r="L26" s="167">
        <v>15</v>
      </c>
      <c r="M26" s="13">
        <f t="shared" si="20"/>
        <v>1916.2500000000007</v>
      </c>
      <c r="N26" s="12">
        <f t="shared" si="3"/>
        <v>127.75000000000004</v>
      </c>
      <c r="O26" s="14">
        <f t="shared" si="4"/>
        <v>0</v>
      </c>
      <c r="P26" s="15">
        <f t="shared" si="5"/>
        <v>-5.5833333333333002</v>
      </c>
      <c r="Q26" s="160">
        <f t="shared" si="6"/>
        <v>0.95812500000000023</v>
      </c>
      <c r="R26" s="615"/>
      <c r="S26" s="34">
        <v>0.70833333333333337</v>
      </c>
      <c r="T26" s="34">
        <v>0.7416666666666667</v>
      </c>
      <c r="U26" s="161" t="str">
        <f t="shared" si="22"/>
        <v/>
      </c>
      <c r="V26" s="168">
        <f t="shared" si="21"/>
        <v>47.999999999999986</v>
      </c>
      <c r="W26" s="16"/>
      <c r="X26" s="16"/>
      <c r="Y26" s="161"/>
      <c r="Z26" s="161"/>
      <c r="AA26" s="617"/>
      <c r="AB26" s="617"/>
      <c r="AC26" s="35"/>
      <c r="AD26" s="18"/>
      <c r="AE26" s="14">
        <f t="shared" si="8"/>
        <v>-83.749999999999318</v>
      </c>
      <c r="AF26" s="160">
        <f t="shared" si="9"/>
        <v>0.95812500000000034</v>
      </c>
      <c r="AG26" s="615"/>
    </row>
    <row r="27" spans="1:33" ht="15.75" customHeight="1">
      <c r="A27" s="643" t="s">
        <v>564</v>
      </c>
      <c r="B27" s="29" t="s">
        <v>15</v>
      </c>
      <c r="C27" s="640" t="s">
        <v>85</v>
      </c>
      <c r="D27" s="640"/>
      <c r="E27" s="29">
        <v>56.43</v>
      </c>
      <c r="F27" s="169">
        <v>1536</v>
      </c>
      <c r="G27" s="161">
        <f t="shared" si="19"/>
        <v>86676.479999999996</v>
      </c>
      <c r="H27" s="33" t="s">
        <v>57</v>
      </c>
      <c r="I27" s="167">
        <v>13</v>
      </c>
      <c r="J27" s="31">
        <v>2000</v>
      </c>
      <c r="K27" s="12">
        <f t="shared" si="1"/>
        <v>153.84615384615384</v>
      </c>
      <c r="L27" s="167">
        <v>13</v>
      </c>
      <c r="M27" s="13">
        <f t="shared" si="20"/>
        <v>1920.0000000000005</v>
      </c>
      <c r="N27" s="12">
        <f t="shared" si="3"/>
        <v>147.69230769230774</v>
      </c>
      <c r="O27" s="14">
        <f t="shared" si="4"/>
        <v>0</v>
      </c>
      <c r="P27" s="15">
        <f t="shared" si="5"/>
        <v>-6.1538461538461036</v>
      </c>
      <c r="Q27" s="160">
        <f t="shared" si="6"/>
        <v>0.9600000000000003</v>
      </c>
      <c r="R27" s="615"/>
      <c r="S27" s="34">
        <v>0.74652777777777779</v>
      </c>
      <c r="T27" s="34">
        <v>0.77986111111111112</v>
      </c>
      <c r="U27" s="161">
        <f t="shared" si="22"/>
        <v>6.9999999999999751</v>
      </c>
      <c r="V27" s="168">
        <f t="shared" si="21"/>
        <v>47.999999999999986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-79.999999999999545</v>
      </c>
      <c r="AF27" s="160">
        <f t="shared" si="9"/>
        <v>0.96000000000000019</v>
      </c>
      <c r="AG27" s="615"/>
    </row>
    <row r="28" spans="1:33" ht="15.75" customHeight="1">
      <c r="A28" s="643" t="s">
        <v>564</v>
      </c>
      <c r="B28" s="29" t="s">
        <v>563</v>
      </c>
      <c r="C28" s="618"/>
      <c r="D28" s="618"/>
      <c r="E28" s="162"/>
      <c r="F28" s="169"/>
      <c r="G28" s="161"/>
      <c r="H28" s="169"/>
      <c r="I28" s="23">
        <v>15.333333333333334</v>
      </c>
      <c r="J28" s="31">
        <v>1916.6666666666667</v>
      </c>
      <c r="K28" s="12">
        <f t="shared" si="1"/>
        <v>125</v>
      </c>
      <c r="L28" s="23">
        <v>15.333333333333334</v>
      </c>
      <c r="M28" s="13">
        <f>AVERAGE(M22:M27)</f>
        <v>1840.0458881180932</v>
      </c>
      <c r="N28" s="12">
        <f t="shared" si="3"/>
        <v>120.0029927033539</v>
      </c>
      <c r="O28" s="14">
        <f t="shared" si="4"/>
        <v>0</v>
      </c>
      <c r="P28" s="15">
        <f t="shared" si="5"/>
        <v>-4.9970072966461032</v>
      </c>
      <c r="Q28" s="160">
        <f t="shared" si="6"/>
        <v>0.96002394162683113</v>
      </c>
      <c r="R28" s="615"/>
      <c r="S28" s="34"/>
      <c r="T28" s="34"/>
      <c r="U28" s="12"/>
      <c r="V28" s="168"/>
      <c r="W28" s="12"/>
      <c r="X28" s="12"/>
      <c r="Y28" s="24">
        <f>SUM(Y22:Y27)</f>
        <v>0</v>
      </c>
      <c r="Z28" s="24">
        <f>SUM(Z22:Z27)</f>
        <v>0</v>
      </c>
      <c r="AA28" s="614"/>
      <c r="AB28" s="614"/>
      <c r="AC28" s="24">
        <v>6</v>
      </c>
      <c r="AD28" s="24">
        <f>SUM(AD22:AD27)</f>
        <v>0</v>
      </c>
      <c r="AE28" s="14">
        <f t="shared" si="8"/>
        <v>-76.620778548573526</v>
      </c>
      <c r="AF28" s="160">
        <f t="shared" si="9"/>
        <v>0.96002394162683125</v>
      </c>
      <c r="AG28" s="615"/>
    </row>
    <row r="29" spans="1:33" ht="15.75" customHeight="1">
      <c r="A29" s="641" t="s">
        <v>565</v>
      </c>
      <c r="B29" s="29" t="s">
        <v>32</v>
      </c>
      <c r="C29" s="640" t="s">
        <v>33</v>
      </c>
      <c r="D29" s="640"/>
      <c r="E29" s="29">
        <v>31.29</v>
      </c>
      <c r="F29" s="169">
        <v>5000</v>
      </c>
      <c r="G29" s="161">
        <f t="shared" ref="G29:G33" si="23">E29*F29</f>
        <v>156450</v>
      </c>
      <c r="H29" s="33">
        <v>2</v>
      </c>
      <c r="I29" s="167">
        <v>18</v>
      </c>
      <c r="J29" s="31">
        <v>2400</v>
      </c>
      <c r="K29" s="12">
        <f t="shared" si="1"/>
        <v>133.33333333333334</v>
      </c>
      <c r="L29" s="167">
        <v>18</v>
      </c>
      <c r="M29" s="13">
        <f t="shared" ref="M29:M33" si="24">F29/V29*60</f>
        <v>2290.0763358778627</v>
      </c>
      <c r="N29" s="12">
        <f t="shared" si="3"/>
        <v>127.2264631043257</v>
      </c>
      <c r="O29" s="14">
        <f t="shared" si="4"/>
        <v>0</v>
      </c>
      <c r="P29" s="15">
        <f t="shared" si="5"/>
        <v>-6.1068702290076402</v>
      </c>
      <c r="Q29" s="160">
        <f t="shared" si="6"/>
        <v>0.95419847328244267</v>
      </c>
      <c r="R29" s="615">
        <f>Q34</f>
        <v>0.95496304990715175</v>
      </c>
      <c r="S29" s="34">
        <v>8.3333333333333329E-2</v>
      </c>
      <c r="T29" s="34">
        <v>0.17430555555555555</v>
      </c>
      <c r="U29" s="161"/>
      <c r="V29" s="168">
        <f t="shared" ref="V29:V33" si="25">(T29-S29)*24*60</f>
        <v>131</v>
      </c>
      <c r="W29" s="16">
        <f>T29</f>
        <v>0.17430555555555555</v>
      </c>
      <c r="X29" s="16">
        <f>S30</f>
        <v>0.19513888888888889</v>
      </c>
      <c r="Y29" s="16"/>
      <c r="Z29" s="16"/>
      <c r="AA29" s="617"/>
      <c r="AB29" s="617"/>
      <c r="AC29" s="35">
        <v>5</v>
      </c>
      <c r="AD29" s="18"/>
      <c r="AE29" s="14">
        <f t="shared" si="8"/>
        <v>-109.92366412213732</v>
      </c>
      <c r="AF29" s="160">
        <f t="shared" si="9"/>
        <v>0.95419847328244278</v>
      </c>
      <c r="AG29" s="615">
        <f>AF34</f>
        <v>0.95496304990715164</v>
      </c>
    </row>
    <row r="30" spans="1:33" ht="15.75" customHeight="1">
      <c r="A30" s="641" t="s">
        <v>565</v>
      </c>
      <c r="B30" s="29" t="s">
        <v>32</v>
      </c>
      <c r="C30" s="640" t="s">
        <v>34</v>
      </c>
      <c r="D30" s="640"/>
      <c r="E30" s="29">
        <v>26.37</v>
      </c>
      <c r="F30" s="169">
        <v>5191</v>
      </c>
      <c r="G30" s="161">
        <f t="shared" si="23"/>
        <v>136886.67000000001</v>
      </c>
      <c r="H30" s="33" t="s">
        <v>57</v>
      </c>
      <c r="I30" s="167">
        <v>18</v>
      </c>
      <c r="J30" s="31">
        <v>2400</v>
      </c>
      <c r="K30" s="12">
        <f t="shared" si="1"/>
        <v>133.33333333333334</v>
      </c>
      <c r="L30" s="167">
        <v>18</v>
      </c>
      <c r="M30" s="13">
        <f t="shared" si="24"/>
        <v>2290.1470588235306</v>
      </c>
      <c r="N30" s="12">
        <f t="shared" si="3"/>
        <v>127.23039215686282</v>
      </c>
      <c r="O30" s="14">
        <f t="shared" si="4"/>
        <v>0</v>
      </c>
      <c r="P30" s="15">
        <f t="shared" si="5"/>
        <v>-6.102941176470523</v>
      </c>
      <c r="Q30" s="160">
        <f t="shared" si="6"/>
        <v>0.95422794117647103</v>
      </c>
      <c r="R30" s="615"/>
      <c r="S30" s="34">
        <v>0.19513888888888889</v>
      </c>
      <c r="T30" s="34">
        <v>0.2895833333333333</v>
      </c>
      <c r="U30" s="161">
        <f t="shared" ref="U30:U33" si="26">(S30-T29)*24*60</f>
        <v>30.000000000000014</v>
      </c>
      <c r="V30" s="168">
        <f t="shared" si="25"/>
        <v>135.99999999999994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-109.85294117646936</v>
      </c>
      <c r="AF30" s="160">
        <f t="shared" si="9"/>
        <v>0.95422794117647114</v>
      </c>
      <c r="AG30" s="615"/>
    </row>
    <row r="31" spans="1:33" ht="15.75" customHeight="1">
      <c r="A31" s="641" t="s">
        <v>565</v>
      </c>
      <c r="B31" s="29" t="s">
        <v>32</v>
      </c>
      <c r="C31" s="640" t="s">
        <v>76</v>
      </c>
      <c r="D31" s="640"/>
      <c r="E31" s="29">
        <v>26.18</v>
      </c>
      <c r="F31" s="169">
        <v>6626</v>
      </c>
      <c r="G31" s="161">
        <f t="shared" si="23"/>
        <v>173468.68</v>
      </c>
      <c r="H31" s="33" t="s">
        <v>57</v>
      </c>
      <c r="I31" s="167">
        <v>18</v>
      </c>
      <c r="J31" s="31">
        <v>2400</v>
      </c>
      <c r="K31" s="12">
        <f t="shared" si="1"/>
        <v>133.33333333333334</v>
      </c>
      <c r="L31" s="167">
        <v>18</v>
      </c>
      <c r="M31" s="13">
        <f t="shared" si="24"/>
        <v>2284.8275862068963</v>
      </c>
      <c r="N31" s="12">
        <f t="shared" si="3"/>
        <v>126.93486590038313</v>
      </c>
      <c r="O31" s="14">
        <f t="shared" si="4"/>
        <v>0</v>
      </c>
      <c r="P31" s="15">
        <f t="shared" si="5"/>
        <v>-6.3984674329502127</v>
      </c>
      <c r="Q31" s="160">
        <f t="shared" si="6"/>
        <v>0.95201149425287346</v>
      </c>
      <c r="R31" s="615"/>
      <c r="S31" s="34">
        <v>0.29305555555555551</v>
      </c>
      <c r="T31" s="34">
        <v>0.41388888888888886</v>
      </c>
      <c r="U31" s="161">
        <f t="shared" si="26"/>
        <v>4.9999999999999822</v>
      </c>
      <c r="V31" s="168">
        <f t="shared" si="25"/>
        <v>174.00000000000003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-115.17241379310371</v>
      </c>
      <c r="AF31" s="160">
        <f t="shared" si="9"/>
        <v>0.95201149425287346</v>
      </c>
      <c r="AG31" s="615"/>
    </row>
    <row r="32" spans="1:33" ht="15.75" customHeight="1">
      <c r="A32" s="641" t="s">
        <v>565</v>
      </c>
      <c r="B32" s="29" t="s">
        <v>32</v>
      </c>
      <c r="C32" s="640" t="s">
        <v>35</v>
      </c>
      <c r="D32" s="640"/>
      <c r="E32" s="29">
        <v>25.99</v>
      </c>
      <c r="F32" s="169">
        <v>3405</v>
      </c>
      <c r="G32" s="161">
        <f t="shared" si="23"/>
        <v>88495.95</v>
      </c>
      <c r="H32" s="33" t="s">
        <v>57</v>
      </c>
      <c r="I32" s="167">
        <v>14</v>
      </c>
      <c r="J32" s="31">
        <v>2400</v>
      </c>
      <c r="K32" s="12">
        <f t="shared" si="1"/>
        <v>171.42857142857142</v>
      </c>
      <c r="L32" s="167">
        <v>14</v>
      </c>
      <c r="M32" s="13">
        <f t="shared" si="24"/>
        <v>2295.5056179775279</v>
      </c>
      <c r="N32" s="12">
        <f t="shared" si="3"/>
        <v>163.96468699839485</v>
      </c>
      <c r="O32" s="14">
        <f t="shared" si="4"/>
        <v>0</v>
      </c>
      <c r="P32" s="15">
        <f t="shared" si="5"/>
        <v>-7.463884430176563</v>
      </c>
      <c r="Q32" s="160">
        <f t="shared" si="6"/>
        <v>0.9564606741573034</v>
      </c>
      <c r="R32" s="615"/>
      <c r="S32" s="34">
        <v>0.4194444444444444</v>
      </c>
      <c r="T32" s="34">
        <v>0.48124999999999996</v>
      </c>
      <c r="U32" s="161">
        <f t="shared" si="26"/>
        <v>7.9999999999999716</v>
      </c>
      <c r="V32" s="168">
        <f t="shared" si="25"/>
        <v>89</v>
      </c>
      <c r="W32" s="16">
        <f>T32</f>
        <v>0.48124999999999996</v>
      </c>
      <c r="X32" s="16">
        <f>S33</f>
        <v>0.52013888888888882</v>
      </c>
      <c r="Y32" s="16"/>
      <c r="Z32" s="16"/>
      <c r="AA32" s="617"/>
      <c r="AB32" s="617"/>
      <c r="AC32" s="35"/>
      <c r="AD32" s="18"/>
      <c r="AE32" s="14">
        <f t="shared" si="8"/>
        <v>-104.49438202247211</v>
      </c>
      <c r="AF32" s="160">
        <f t="shared" si="9"/>
        <v>0.95646067415730329</v>
      </c>
      <c r="AG32" s="615"/>
    </row>
    <row r="33" spans="1:33" ht="15.75" customHeight="1">
      <c r="A33" s="641" t="s">
        <v>565</v>
      </c>
      <c r="B33" s="29" t="s">
        <v>32</v>
      </c>
      <c r="C33" s="640" t="s">
        <v>33</v>
      </c>
      <c r="D33" s="640"/>
      <c r="E33" s="29">
        <v>31.29</v>
      </c>
      <c r="F33" s="169">
        <v>2299</v>
      </c>
      <c r="G33" s="161">
        <f t="shared" si="23"/>
        <v>71935.709999999992</v>
      </c>
      <c r="H33" s="33" t="s">
        <v>57</v>
      </c>
      <c r="I33" s="167">
        <v>18</v>
      </c>
      <c r="J33" s="31">
        <v>2400</v>
      </c>
      <c r="K33" s="12">
        <f t="shared" si="1"/>
        <v>133.33333333333334</v>
      </c>
      <c r="L33" s="167">
        <v>18</v>
      </c>
      <c r="M33" s="13">
        <f t="shared" si="24"/>
        <v>2299.0000000000023</v>
      </c>
      <c r="N33" s="12">
        <f t="shared" si="3"/>
        <v>127.72222222222234</v>
      </c>
      <c r="O33" s="14">
        <f t="shared" si="4"/>
        <v>0</v>
      </c>
      <c r="P33" s="15">
        <f t="shared" si="5"/>
        <v>-5.6111111111110006</v>
      </c>
      <c r="Q33" s="160">
        <f t="shared" si="6"/>
        <v>0.95791666666666753</v>
      </c>
      <c r="R33" s="615"/>
      <c r="S33" s="34">
        <v>0.52013888888888882</v>
      </c>
      <c r="T33" s="34">
        <v>0.56180555555555545</v>
      </c>
      <c r="U33" s="161">
        <f t="shared" si="26"/>
        <v>55.999999999999957</v>
      </c>
      <c r="V33" s="168">
        <f t="shared" si="25"/>
        <v>59.999999999999943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-100.99999999999773</v>
      </c>
      <c r="AF33" s="160">
        <f t="shared" si="9"/>
        <v>0.95791666666666764</v>
      </c>
      <c r="AG33" s="615"/>
    </row>
    <row r="34" spans="1:33" ht="15.75" customHeight="1">
      <c r="A34" s="641" t="s">
        <v>565</v>
      </c>
      <c r="B34" s="29" t="s">
        <v>563</v>
      </c>
      <c r="C34" s="618"/>
      <c r="D34" s="618"/>
      <c r="E34" s="162"/>
      <c r="F34" s="169"/>
      <c r="G34" s="161"/>
      <c r="H34" s="169"/>
      <c r="I34" s="23">
        <v>17.2</v>
      </c>
      <c r="J34" s="31">
        <v>2400</v>
      </c>
      <c r="K34" s="12">
        <f t="shared" si="1"/>
        <v>139.53488372093022</v>
      </c>
      <c r="L34" s="23">
        <v>17.2</v>
      </c>
      <c r="M34" s="13">
        <f>AVERAGE(M29:M33)</f>
        <v>2291.911319777164</v>
      </c>
      <c r="N34" s="12">
        <f t="shared" si="3"/>
        <v>133.25065812657931</v>
      </c>
      <c r="O34" s="14">
        <f t="shared" si="4"/>
        <v>0</v>
      </c>
      <c r="P34" s="15">
        <f t="shared" si="5"/>
        <v>-6.2842255943509144</v>
      </c>
      <c r="Q34" s="160">
        <f t="shared" si="6"/>
        <v>0.95496304990715175</v>
      </c>
      <c r="R34" s="615"/>
      <c r="S34" s="34"/>
      <c r="T34" s="34"/>
      <c r="U34" s="161"/>
      <c r="V34" s="168"/>
      <c r="W34" s="161"/>
      <c r="X34" s="161"/>
      <c r="Y34" s="24">
        <f>SUM(Y29:Y33)</f>
        <v>0</v>
      </c>
      <c r="Z34" s="24">
        <f>SUM(Z29:Z33)</f>
        <v>0</v>
      </c>
      <c r="AA34" s="614"/>
      <c r="AB34" s="614"/>
      <c r="AC34" s="24">
        <v>5</v>
      </c>
      <c r="AD34" s="24">
        <f>SUM(AD29:AD33)</f>
        <v>0</v>
      </c>
      <c r="AE34" s="14">
        <f t="shared" si="8"/>
        <v>-108.08868022283605</v>
      </c>
      <c r="AF34" s="160">
        <f t="shared" si="9"/>
        <v>0.95496304990715164</v>
      </c>
      <c r="AG34" s="615"/>
    </row>
    <row r="35" spans="1:33" ht="15.75" customHeight="1">
      <c r="A35" s="638" t="s">
        <v>566</v>
      </c>
      <c r="B35" s="29" t="s">
        <v>32</v>
      </c>
      <c r="C35" s="616" t="s">
        <v>77</v>
      </c>
      <c r="D35" s="616"/>
      <c r="E35" s="29">
        <v>26.18</v>
      </c>
      <c r="F35" s="169">
        <v>5142</v>
      </c>
      <c r="G35" s="161">
        <f t="shared" ref="G35:G40" si="27">E35*F35</f>
        <v>134617.56</v>
      </c>
      <c r="H35" s="33" t="s">
        <v>57</v>
      </c>
      <c r="I35" s="167">
        <v>20</v>
      </c>
      <c r="J35" s="31">
        <v>2400</v>
      </c>
      <c r="K35" s="12">
        <f t="shared" si="1"/>
        <v>120</v>
      </c>
      <c r="L35" s="167">
        <v>20</v>
      </c>
      <c r="M35" s="13">
        <f t="shared" ref="M35:M40" si="28">F35/V35*60</f>
        <v>2285.3333333333339</v>
      </c>
      <c r="N35" s="12">
        <f t="shared" si="3"/>
        <v>114.26666666666669</v>
      </c>
      <c r="O35" s="14">
        <f t="shared" si="4"/>
        <v>0</v>
      </c>
      <c r="P35" s="15">
        <f t="shared" si="5"/>
        <v>-5.7333333333333059</v>
      </c>
      <c r="Q35" s="160">
        <f t="shared" si="6"/>
        <v>0.95222222222222241</v>
      </c>
      <c r="R35" s="615">
        <f>Q41</f>
        <v>0.95686134750590868</v>
      </c>
      <c r="S35" s="34">
        <v>8.3333333333333329E-2</v>
      </c>
      <c r="T35" s="34">
        <v>0.17708333333333331</v>
      </c>
      <c r="U35" s="161"/>
      <c r="V35" s="168">
        <f t="shared" ref="V35:V40" si="29">(T35-S35)*24*60</f>
        <v>134.99999999999997</v>
      </c>
      <c r="W35" s="21">
        <f>T35</f>
        <v>0.17708333333333331</v>
      </c>
      <c r="X35" s="21">
        <f>S36</f>
        <v>0.19652777777777775</v>
      </c>
      <c r="Y35" s="21"/>
      <c r="Z35" s="21"/>
      <c r="AA35" s="617"/>
      <c r="AB35" s="617"/>
      <c r="AC35" s="35">
        <v>6</v>
      </c>
      <c r="AD35" s="18"/>
      <c r="AE35" s="14">
        <f t="shared" si="8"/>
        <v>-114.66666666666606</v>
      </c>
      <c r="AF35" s="160">
        <f t="shared" si="9"/>
        <v>0.95222222222222253</v>
      </c>
      <c r="AG35" s="615">
        <f>AF41</f>
        <v>0.95686134750590868</v>
      </c>
    </row>
    <row r="36" spans="1:33" ht="15.75" customHeight="1">
      <c r="A36" s="638" t="s">
        <v>566</v>
      </c>
      <c r="B36" s="29" t="s">
        <v>32</v>
      </c>
      <c r="C36" s="616" t="s">
        <v>37</v>
      </c>
      <c r="D36" s="616"/>
      <c r="E36" s="29">
        <v>24.43</v>
      </c>
      <c r="F36" s="169">
        <v>5488</v>
      </c>
      <c r="G36" s="161">
        <f t="shared" si="27"/>
        <v>134071.84</v>
      </c>
      <c r="H36" s="33" t="s">
        <v>57</v>
      </c>
      <c r="I36" s="167">
        <v>14</v>
      </c>
      <c r="J36" s="31">
        <v>2400</v>
      </c>
      <c r="K36" s="12">
        <f t="shared" si="1"/>
        <v>171.42857142857142</v>
      </c>
      <c r="L36" s="167">
        <v>14</v>
      </c>
      <c r="M36" s="13">
        <f t="shared" si="28"/>
        <v>2286.6666666666674</v>
      </c>
      <c r="N36" s="12">
        <f t="shared" si="3"/>
        <v>163.3333333333334</v>
      </c>
      <c r="O36" s="14">
        <f t="shared" si="4"/>
        <v>0</v>
      </c>
      <c r="P36" s="15">
        <f t="shared" si="5"/>
        <v>-8.0952380952380167</v>
      </c>
      <c r="Q36" s="160">
        <f t="shared" si="6"/>
        <v>0.95277777777777828</v>
      </c>
      <c r="R36" s="615"/>
      <c r="S36" s="34">
        <v>0.19652777777777775</v>
      </c>
      <c r="T36" s="34">
        <v>0.29652777777777772</v>
      </c>
      <c r="U36" s="161">
        <f t="shared" ref="U36:U40" si="30">(S36-T35)*24*60</f>
        <v>27.999999999999979</v>
      </c>
      <c r="V36" s="168">
        <f t="shared" si="29"/>
        <v>143.99999999999997</v>
      </c>
      <c r="W36" s="161"/>
      <c r="X36" s="161"/>
      <c r="Y36" s="161"/>
      <c r="Z36" s="161"/>
      <c r="AA36" s="617"/>
      <c r="AB36" s="617"/>
      <c r="AC36" s="35"/>
      <c r="AD36" s="18"/>
      <c r="AE36" s="14">
        <f t="shared" si="8"/>
        <v>-113.33333333333258</v>
      </c>
      <c r="AF36" s="160">
        <f t="shared" si="9"/>
        <v>0.95277777777777806</v>
      </c>
      <c r="AG36" s="615"/>
    </row>
    <row r="37" spans="1:33">
      <c r="A37" s="639" t="s">
        <v>566</v>
      </c>
      <c r="B37" s="29" t="s">
        <v>32</v>
      </c>
      <c r="C37" s="616" t="s">
        <v>38</v>
      </c>
      <c r="D37" s="616"/>
      <c r="E37" s="29">
        <v>25.98</v>
      </c>
      <c r="F37" s="169">
        <v>2464</v>
      </c>
      <c r="G37" s="161">
        <f t="shared" si="27"/>
        <v>64014.720000000001</v>
      </c>
      <c r="H37" s="33" t="s">
        <v>57</v>
      </c>
      <c r="I37" s="167">
        <v>21</v>
      </c>
      <c r="J37" s="31">
        <v>2400</v>
      </c>
      <c r="K37" s="12">
        <f t="shared" si="1"/>
        <v>114.28571428571429</v>
      </c>
      <c r="L37" s="167">
        <v>21</v>
      </c>
      <c r="M37" s="13">
        <f t="shared" si="28"/>
        <v>2309.9999999999995</v>
      </c>
      <c r="N37" s="12">
        <f t="shared" si="3"/>
        <v>109.99999999999997</v>
      </c>
      <c r="O37" s="14">
        <f t="shared" si="4"/>
        <v>0</v>
      </c>
      <c r="P37" s="15">
        <f t="shared" si="5"/>
        <v>-4.2857142857143202</v>
      </c>
      <c r="Q37" s="160">
        <f t="shared" si="6"/>
        <v>0.96249999999999969</v>
      </c>
      <c r="R37" s="615"/>
      <c r="S37" s="34">
        <v>0.30208333333333326</v>
      </c>
      <c r="T37" s="34">
        <v>0.34652777777777771</v>
      </c>
      <c r="U37" s="161">
        <f t="shared" si="30"/>
        <v>7.9999999999999716</v>
      </c>
      <c r="V37" s="168">
        <f t="shared" si="29"/>
        <v>64.000000000000014</v>
      </c>
      <c r="W37" s="161"/>
      <c r="X37" s="161"/>
      <c r="Y37" s="161"/>
      <c r="Z37" s="161"/>
      <c r="AA37" s="617"/>
      <c r="AB37" s="617"/>
      <c r="AC37" s="35"/>
      <c r="AD37" s="18"/>
      <c r="AE37" s="14">
        <f t="shared" si="8"/>
        <v>-90.000000000000455</v>
      </c>
      <c r="AF37" s="160">
        <f t="shared" si="9"/>
        <v>0.9624999999999998</v>
      </c>
      <c r="AG37" s="615"/>
    </row>
    <row r="38" spans="1:33">
      <c r="A38" s="639" t="s">
        <v>566</v>
      </c>
      <c r="B38" s="29" t="s">
        <v>32</v>
      </c>
      <c r="C38" s="616" t="s">
        <v>79</v>
      </c>
      <c r="D38" s="616"/>
      <c r="E38" s="29">
        <v>25.99</v>
      </c>
      <c r="F38" s="169">
        <v>2194</v>
      </c>
      <c r="G38" s="161">
        <f t="shared" si="27"/>
        <v>57022.06</v>
      </c>
      <c r="H38" s="33" t="s">
        <v>57</v>
      </c>
      <c r="I38" s="167">
        <v>18</v>
      </c>
      <c r="J38" s="31">
        <v>2400</v>
      </c>
      <c r="K38" s="12">
        <f t="shared" si="1"/>
        <v>133.33333333333334</v>
      </c>
      <c r="L38" s="167">
        <v>18</v>
      </c>
      <c r="M38" s="13">
        <f t="shared" si="28"/>
        <v>2309.4736842105249</v>
      </c>
      <c r="N38" s="12">
        <f t="shared" si="3"/>
        <v>128.30409356725139</v>
      </c>
      <c r="O38" s="14">
        <f t="shared" si="4"/>
        <v>0</v>
      </c>
      <c r="P38" s="15">
        <f t="shared" si="5"/>
        <v>-5.0292397660819574</v>
      </c>
      <c r="Q38" s="160">
        <f t="shared" si="6"/>
        <v>0.96228070175438529</v>
      </c>
      <c r="R38" s="615"/>
      <c r="S38" s="34">
        <v>0.35208333333333325</v>
      </c>
      <c r="T38" s="34">
        <v>0.39166666666666661</v>
      </c>
      <c r="U38" s="161">
        <f t="shared" si="30"/>
        <v>7.9999999999999716</v>
      </c>
      <c r="V38" s="168">
        <f t="shared" si="29"/>
        <v>57.000000000000036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-90.52631578947512</v>
      </c>
      <c r="AF38" s="160">
        <f t="shared" si="9"/>
        <v>0.9622807017543854</v>
      </c>
      <c r="AG38" s="615"/>
    </row>
    <row r="39" spans="1:33">
      <c r="A39" s="639" t="s">
        <v>566</v>
      </c>
      <c r="B39" s="29" t="s">
        <v>32</v>
      </c>
      <c r="C39" s="616" t="s">
        <v>39</v>
      </c>
      <c r="D39" s="616"/>
      <c r="E39" s="29">
        <v>34.1</v>
      </c>
      <c r="F39" s="169">
        <v>3000</v>
      </c>
      <c r="G39" s="161">
        <f t="shared" si="27"/>
        <v>102300</v>
      </c>
      <c r="H39" s="33">
        <v>2</v>
      </c>
      <c r="I39" s="167">
        <v>17</v>
      </c>
      <c r="J39" s="31">
        <v>1600</v>
      </c>
      <c r="K39" s="12">
        <f t="shared" si="1"/>
        <v>94.117647058823536</v>
      </c>
      <c r="L39" s="167">
        <v>17</v>
      </c>
      <c r="M39" s="13">
        <f t="shared" si="28"/>
        <v>1525.4237288135596</v>
      </c>
      <c r="N39" s="12">
        <f t="shared" si="3"/>
        <v>89.730807577268209</v>
      </c>
      <c r="O39" s="14">
        <f t="shared" si="4"/>
        <v>0</v>
      </c>
      <c r="P39" s="15">
        <f t="shared" si="5"/>
        <v>-4.3868394815553273</v>
      </c>
      <c r="Q39" s="160">
        <f t="shared" si="6"/>
        <v>0.9533898305084747</v>
      </c>
      <c r="R39" s="615"/>
      <c r="S39" s="34">
        <v>0.39722222222222214</v>
      </c>
      <c r="T39" s="34">
        <v>0.47916666666666657</v>
      </c>
      <c r="U39" s="161">
        <f t="shared" si="30"/>
        <v>7.9999999999999716</v>
      </c>
      <c r="V39" s="168">
        <f t="shared" si="29"/>
        <v>117.99999999999999</v>
      </c>
      <c r="W39" s="16">
        <f>T39</f>
        <v>0.47916666666666657</v>
      </c>
      <c r="X39" s="16">
        <f>S40</f>
        <v>0.51805555555555549</v>
      </c>
      <c r="Y39" s="16"/>
      <c r="Z39" s="16"/>
      <c r="AA39" s="617"/>
      <c r="AB39" s="617"/>
      <c r="AC39" s="35"/>
      <c r="AD39" s="18"/>
      <c r="AE39" s="14">
        <f t="shared" si="8"/>
        <v>-74.576271186440408</v>
      </c>
      <c r="AF39" s="160">
        <f t="shared" si="9"/>
        <v>0.9533898305084747</v>
      </c>
      <c r="AG39" s="615"/>
    </row>
    <row r="40" spans="1:33">
      <c r="A40" s="639" t="s">
        <v>566</v>
      </c>
      <c r="B40" s="29" t="s">
        <v>32</v>
      </c>
      <c r="C40" s="616" t="s">
        <v>39</v>
      </c>
      <c r="D40" s="616"/>
      <c r="E40" s="29">
        <v>34.1</v>
      </c>
      <c r="F40" s="169">
        <v>2475</v>
      </c>
      <c r="G40" s="161">
        <f t="shared" si="27"/>
        <v>84397.5</v>
      </c>
      <c r="H40" s="33" t="s">
        <v>57</v>
      </c>
      <c r="I40" s="167">
        <v>17</v>
      </c>
      <c r="J40" s="31">
        <v>1600</v>
      </c>
      <c r="K40" s="12">
        <f t="shared" si="1"/>
        <v>94.117647058823536</v>
      </c>
      <c r="L40" s="167">
        <v>17</v>
      </c>
      <c r="M40" s="13">
        <f t="shared" si="28"/>
        <v>1530.9278350515469</v>
      </c>
      <c r="N40" s="12">
        <f t="shared" si="3"/>
        <v>90.054578532443941</v>
      </c>
      <c r="O40" s="14">
        <f t="shared" si="4"/>
        <v>0</v>
      </c>
      <c r="P40" s="15">
        <f t="shared" si="5"/>
        <v>-4.0630685263795954</v>
      </c>
      <c r="Q40" s="160">
        <f t="shared" si="6"/>
        <v>0.95682989690721676</v>
      </c>
      <c r="R40" s="615"/>
      <c r="S40" s="34">
        <v>0.51805555555555549</v>
      </c>
      <c r="T40" s="34">
        <v>0.58541666666666659</v>
      </c>
      <c r="U40" s="161">
        <f t="shared" si="30"/>
        <v>56.000000000000043</v>
      </c>
      <c r="V40" s="168">
        <f t="shared" si="29"/>
        <v>96.999999999999972</v>
      </c>
      <c r="W40" s="16"/>
      <c r="X40" s="16"/>
      <c r="Y40" s="16"/>
      <c r="Z40" s="16"/>
      <c r="AA40" s="617"/>
      <c r="AB40" s="617"/>
      <c r="AC40" s="35"/>
      <c r="AD40" s="18"/>
      <c r="AE40" s="14">
        <f t="shared" si="8"/>
        <v>-69.072164948453064</v>
      </c>
      <c r="AF40" s="160">
        <f t="shared" si="9"/>
        <v>0.95682989690721687</v>
      </c>
      <c r="AG40" s="615"/>
    </row>
    <row r="41" spans="1:33">
      <c r="A41" s="639" t="s">
        <v>566</v>
      </c>
      <c r="B41" s="30" t="s">
        <v>563</v>
      </c>
      <c r="C41" s="618"/>
      <c r="D41" s="618"/>
      <c r="E41" s="162"/>
      <c r="F41" s="30"/>
      <c r="G41" s="12"/>
      <c r="H41" s="169"/>
      <c r="I41" s="23">
        <v>17.833333333333332</v>
      </c>
      <c r="J41" s="31">
        <v>2133.3333333333335</v>
      </c>
      <c r="K41" s="12">
        <f t="shared" si="1"/>
        <v>119.62616822429908</v>
      </c>
      <c r="L41" s="23">
        <v>17.833333333333332</v>
      </c>
      <c r="M41" s="13">
        <f>AVERAGE(M35:M40)</f>
        <v>2041.3042080126054</v>
      </c>
      <c r="N41" s="12">
        <f t="shared" si="3"/>
        <v>114.46565652407133</v>
      </c>
      <c r="O41" s="14">
        <f t="shared" si="4"/>
        <v>0</v>
      </c>
      <c r="P41" s="15">
        <f t="shared" si="5"/>
        <v>-5.1605117002277439</v>
      </c>
      <c r="Q41" s="160">
        <f t="shared" si="6"/>
        <v>0.95686134750590868</v>
      </c>
      <c r="R41" s="615"/>
      <c r="S41" s="34"/>
      <c r="T41" s="34"/>
      <c r="U41" s="12"/>
      <c r="V41" s="168"/>
      <c r="W41" s="12"/>
      <c r="X41" s="12"/>
      <c r="Y41" s="24">
        <f>SUM(Y35:Y40)</f>
        <v>0</v>
      </c>
      <c r="Z41" s="24">
        <f>SUM(Z35:Z40)</f>
        <v>0</v>
      </c>
      <c r="AA41" s="614"/>
      <c r="AB41" s="614"/>
      <c r="AC41" s="24">
        <v>6</v>
      </c>
      <c r="AD41" s="24">
        <f>SUM(AD35:AD40)</f>
        <v>0</v>
      </c>
      <c r="AE41" s="14">
        <f t="shared" si="8"/>
        <v>-92.029125320728099</v>
      </c>
      <c r="AF41" s="160">
        <f t="shared" si="9"/>
        <v>0.95686134750590868</v>
      </c>
      <c r="AG41" s="615"/>
    </row>
    <row r="42" spans="1:33" ht="15.75" customHeight="1">
      <c r="A42" s="632" t="s">
        <v>567</v>
      </c>
      <c r="B42" s="29" t="s">
        <v>40</v>
      </c>
      <c r="C42" s="622" t="s">
        <v>41</v>
      </c>
      <c r="D42" s="623"/>
      <c r="E42" s="29">
        <v>37.880000000000003</v>
      </c>
      <c r="F42" s="169">
        <v>768</v>
      </c>
      <c r="G42" s="161">
        <f t="shared" ref="G42:G45" si="31">E42*F42</f>
        <v>29091.840000000004</v>
      </c>
      <c r="H42" s="33" t="s">
        <v>57</v>
      </c>
      <c r="I42" s="167">
        <v>13</v>
      </c>
      <c r="J42" s="31">
        <v>2000</v>
      </c>
      <c r="K42" s="12">
        <f t="shared" si="1"/>
        <v>153.84615384615384</v>
      </c>
      <c r="L42" s="167">
        <v>13</v>
      </c>
      <c r="M42" s="13">
        <f t="shared" ref="M42:M45" si="32">F42/V42*60</f>
        <v>1920.0000000000005</v>
      </c>
      <c r="N42" s="13">
        <f t="shared" si="3"/>
        <v>147.69230769230774</v>
      </c>
      <c r="O42" s="14">
        <f t="shared" si="4"/>
        <v>0</v>
      </c>
      <c r="P42" s="15">
        <f t="shared" si="5"/>
        <v>-6.1538461538461036</v>
      </c>
      <c r="Q42" s="160">
        <f t="shared" si="6"/>
        <v>0.9600000000000003</v>
      </c>
      <c r="R42" s="635">
        <f>Q46</f>
        <v>0.9564869981277303</v>
      </c>
      <c r="S42" s="34">
        <v>8.3333333333333329E-2</v>
      </c>
      <c r="T42" s="34">
        <v>9.9999999999999992E-2</v>
      </c>
      <c r="U42" s="21"/>
      <c r="V42" s="168">
        <f t="shared" ref="V42:V45" si="33">(T42-S42)*24*60</f>
        <v>23.999999999999993</v>
      </c>
      <c r="W42" s="16">
        <f>T42</f>
        <v>9.9999999999999992E-2</v>
      </c>
      <c r="X42" s="16">
        <f>S43</f>
        <v>0.12083333333333332</v>
      </c>
      <c r="Y42" s="19"/>
      <c r="Z42" s="19"/>
      <c r="AA42" s="624"/>
      <c r="AB42" s="625"/>
      <c r="AC42" s="35">
        <v>4</v>
      </c>
      <c r="AD42" s="18"/>
      <c r="AE42" s="14">
        <f t="shared" si="8"/>
        <v>-79.999999999999545</v>
      </c>
      <c r="AF42" s="160">
        <f t="shared" si="9"/>
        <v>0.96000000000000019</v>
      </c>
      <c r="AG42" s="635">
        <f>AF46</f>
        <v>0.95648699812773041</v>
      </c>
    </row>
    <row r="43" spans="1:33" ht="15.75" customHeight="1">
      <c r="A43" s="633" t="s">
        <v>567</v>
      </c>
      <c r="B43" s="29" t="s">
        <v>40</v>
      </c>
      <c r="C43" s="622" t="s">
        <v>42</v>
      </c>
      <c r="D43" s="623"/>
      <c r="E43" s="29">
        <v>35.119999999999997</v>
      </c>
      <c r="F43" s="169">
        <v>4311</v>
      </c>
      <c r="G43" s="161">
        <f t="shared" si="31"/>
        <v>151402.31999999998</v>
      </c>
      <c r="H43" s="33" t="s">
        <v>57</v>
      </c>
      <c r="I43" s="167">
        <v>10</v>
      </c>
      <c r="J43" s="31">
        <v>3000</v>
      </c>
      <c r="K43" s="12">
        <f t="shared" si="1"/>
        <v>300</v>
      </c>
      <c r="L43" s="167">
        <v>10</v>
      </c>
      <c r="M43" s="13">
        <f t="shared" si="32"/>
        <v>2874</v>
      </c>
      <c r="N43" s="13">
        <f t="shared" si="3"/>
        <v>287.39999999999998</v>
      </c>
      <c r="O43" s="14">
        <f t="shared" si="4"/>
        <v>0</v>
      </c>
      <c r="P43" s="15">
        <f t="shared" si="5"/>
        <v>-12.600000000000023</v>
      </c>
      <c r="Q43" s="160">
        <f t="shared" si="6"/>
        <v>0.95799999999999996</v>
      </c>
      <c r="R43" s="636"/>
      <c r="S43" s="34">
        <v>0.12083333333333332</v>
      </c>
      <c r="T43" s="34">
        <v>0.18333333333333332</v>
      </c>
      <c r="U43" s="161">
        <f t="shared" ref="U43:U45" si="34">(S43-T42)*24*60</f>
        <v>29.999999999999993</v>
      </c>
      <c r="V43" s="168">
        <f t="shared" si="33"/>
        <v>90</v>
      </c>
      <c r="W43" s="16"/>
      <c r="X43" s="16"/>
      <c r="Y43" s="19"/>
      <c r="Z43" s="19"/>
      <c r="AA43" s="624"/>
      <c r="AB43" s="625"/>
      <c r="AC43" s="35"/>
      <c r="AD43" s="18"/>
      <c r="AE43" s="14">
        <f t="shared" si="8"/>
        <v>-126</v>
      </c>
      <c r="AF43" s="160">
        <f t="shared" si="9"/>
        <v>0.95799999999999996</v>
      </c>
      <c r="AG43" s="636"/>
    </row>
    <row r="44" spans="1:33" ht="15.75" customHeight="1">
      <c r="A44" s="633" t="s">
        <v>567</v>
      </c>
      <c r="B44" s="29" t="s">
        <v>40</v>
      </c>
      <c r="C44" s="622" t="s">
        <v>43</v>
      </c>
      <c r="D44" s="623"/>
      <c r="E44" s="29">
        <v>21.13</v>
      </c>
      <c r="F44" s="169">
        <v>4395</v>
      </c>
      <c r="G44" s="161">
        <f t="shared" si="31"/>
        <v>92866.349999999991</v>
      </c>
      <c r="H44" s="33" t="s">
        <v>57</v>
      </c>
      <c r="I44" s="167">
        <v>10</v>
      </c>
      <c r="J44" s="31">
        <v>3000</v>
      </c>
      <c r="K44" s="12">
        <f t="shared" si="1"/>
        <v>300</v>
      </c>
      <c r="L44" s="167">
        <v>10</v>
      </c>
      <c r="M44" s="13">
        <f t="shared" si="32"/>
        <v>2866.304347826087</v>
      </c>
      <c r="N44" s="13">
        <f t="shared" si="3"/>
        <v>286.63043478260869</v>
      </c>
      <c r="O44" s="14">
        <f t="shared" si="4"/>
        <v>0</v>
      </c>
      <c r="P44" s="15">
        <f t="shared" si="5"/>
        <v>-13.369565217391312</v>
      </c>
      <c r="Q44" s="160">
        <f t="shared" si="6"/>
        <v>0.95543478260869563</v>
      </c>
      <c r="R44" s="636"/>
      <c r="S44" s="34">
        <v>0.1875</v>
      </c>
      <c r="T44" s="34">
        <v>0.25138888888888888</v>
      </c>
      <c r="U44" s="161">
        <f t="shared" si="34"/>
        <v>6.0000000000000187</v>
      </c>
      <c r="V44" s="168">
        <f t="shared" si="33"/>
        <v>92</v>
      </c>
      <c r="W44" s="16"/>
      <c r="X44" s="16"/>
      <c r="Y44" s="19"/>
      <c r="Z44" s="19"/>
      <c r="AA44" s="624"/>
      <c r="AB44" s="625"/>
      <c r="AC44" s="35"/>
      <c r="AD44" s="18"/>
      <c r="AE44" s="14">
        <f t="shared" si="8"/>
        <v>-133.695652173913</v>
      </c>
      <c r="AF44" s="160">
        <f t="shared" si="9"/>
        <v>0.95543478260869563</v>
      </c>
      <c r="AG44" s="636"/>
    </row>
    <row r="45" spans="1:33" ht="15.75" customHeight="1">
      <c r="A45" s="633" t="s">
        <v>567</v>
      </c>
      <c r="B45" s="29" t="s">
        <v>40</v>
      </c>
      <c r="C45" s="622" t="s">
        <v>44</v>
      </c>
      <c r="D45" s="623"/>
      <c r="E45" s="29">
        <v>27.17</v>
      </c>
      <c r="F45" s="169">
        <v>5436</v>
      </c>
      <c r="G45" s="161">
        <f t="shared" si="31"/>
        <v>147696.12</v>
      </c>
      <c r="H45" s="33" t="s">
        <v>57</v>
      </c>
      <c r="I45" s="167">
        <v>10</v>
      </c>
      <c r="J45" s="31">
        <v>3000</v>
      </c>
      <c r="K45" s="12">
        <f t="shared" si="1"/>
        <v>300</v>
      </c>
      <c r="L45" s="167">
        <v>10</v>
      </c>
      <c r="M45" s="13">
        <f t="shared" si="32"/>
        <v>2861.0526315789471</v>
      </c>
      <c r="N45" s="13">
        <f t="shared" si="3"/>
        <v>286.10526315789468</v>
      </c>
      <c r="O45" s="14">
        <f t="shared" si="4"/>
        <v>0</v>
      </c>
      <c r="P45" s="15">
        <f t="shared" si="5"/>
        <v>-13.894736842105317</v>
      </c>
      <c r="Q45" s="160">
        <f t="shared" si="6"/>
        <v>0.95368421052631558</v>
      </c>
      <c r="R45" s="636"/>
      <c r="S45" s="34">
        <v>0.25694444444444442</v>
      </c>
      <c r="T45" s="34">
        <v>0.33611111111111108</v>
      </c>
      <c r="U45" s="161">
        <f t="shared" si="34"/>
        <v>7.9999999999999716</v>
      </c>
      <c r="V45" s="168">
        <f t="shared" si="33"/>
        <v>114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-138.94736842105294</v>
      </c>
      <c r="AF45" s="160">
        <f t="shared" si="9"/>
        <v>0.95368421052631569</v>
      </c>
      <c r="AG45" s="636"/>
    </row>
    <row r="46" spans="1:33" ht="15.75" customHeight="1">
      <c r="A46" s="634" t="s">
        <v>567</v>
      </c>
      <c r="B46" s="29" t="s">
        <v>563</v>
      </c>
      <c r="C46" s="612"/>
      <c r="D46" s="613"/>
      <c r="E46" s="158"/>
      <c r="F46" s="169"/>
      <c r="G46" s="161"/>
      <c r="H46" s="169"/>
      <c r="I46" s="23">
        <v>10.75</v>
      </c>
      <c r="J46" s="31">
        <v>2750</v>
      </c>
      <c r="K46" s="12">
        <f t="shared" si="1"/>
        <v>255.81395348837211</v>
      </c>
      <c r="L46" s="23">
        <v>10.75</v>
      </c>
      <c r="M46" s="13">
        <f>AVERAGE(M42:M45)</f>
        <v>2630.3392448512586</v>
      </c>
      <c r="N46" s="12">
        <f t="shared" si="3"/>
        <v>244.68272045127986</v>
      </c>
      <c r="O46" s="14">
        <f t="shared" si="4"/>
        <v>0</v>
      </c>
      <c r="P46" s="15">
        <f t="shared" si="5"/>
        <v>-11.131233037092244</v>
      </c>
      <c r="Q46" s="160">
        <f t="shared" si="6"/>
        <v>0.9564869981277303</v>
      </c>
      <c r="R46" s="637"/>
      <c r="S46" s="34"/>
      <c r="T46" s="34"/>
      <c r="U46" s="161"/>
      <c r="V46" s="168"/>
      <c r="W46" s="16"/>
      <c r="X46" s="16"/>
      <c r="Y46" s="24">
        <f>SUM(Y42:Y45)</f>
        <v>0</v>
      </c>
      <c r="Z46" s="24">
        <f>SUM(Z42:Z45)</f>
        <v>0</v>
      </c>
      <c r="AA46" s="628"/>
      <c r="AB46" s="629"/>
      <c r="AC46" s="24">
        <v>4</v>
      </c>
      <c r="AD46" s="24">
        <f>SUM(AD42:AD45)</f>
        <v>0</v>
      </c>
      <c r="AE46" s="14">
        <f t="shared" si="8"/>
        <v>-119.66075514874137</v>
      </c>
      <c r="AF46" s="160">
        <f t="shared" si="9"/>
        <v>0.95648699812773041</v>
      </c>
      <c r="AG46" s="637"/>
    </row>
    <row r="47" spans="1:33" ht="15.75" customHeight="1">
      <c r="A47" s="630" t="s">
        <v>568</v>
      </c>
      <c r="B47" s="29" t="s">
        <v>19</v>
      </c>
      <c r="C47" s="616" t="s">
        <v>45</v>
      </c>
      <c r="D47" s="616"/>
      <c r="E47" s="29">
        <v>46</v>
      </c>
      <c r="F47" s="32">
        <v>2182</v>
      </c>
      <c r="G47" s="161">
        <f t="shared" ref="G47:G53" si="35">E47*F47</f>
        <v>100372</v>
      </c>
      <c r="H47" s="33" t="s">
        <v>57</v>
      </c>
      <c r="I47" s="167">
        <v>16</v>
      </c>
      <c r="J47" s="31">
        <v>2000</v>
      </c>
      <c r="K47" s="12">
        <f t="shared" si="1"/>
        <v>125</v>
      </c>
      <c r="L47" s="167">
        <v>16</v>
      </c>
      <c r="M47" s="13">
        <f t="shared" ref="M47" si="36">F47/V47*60</f>
        <v>1925.2941176470599</v>
      </c>
      <c r="N47" s="13">
        <f t="shared" si="3"/>
        <v>120.33088235294125</v>
      </c>
      <c r="O47" s="14">
        <f t="shared" si="4"/>
        <v>0</v>
      </c>
      <c r="P47" s="15">
        <f t="shared" si="5"/>
        <v>-4.669117647058755</v>
      </c>
      <c r="Q47" s="160">
        <f t="shared" si="6"/>
        <v>0.96264705882352997</v>
      </c>
      <c r="R47" s="615">
        <f>Q54</f>
        <v>0.95897747005937928</v>
      </c>
      <c r="S47" s="34">
        <v>0.20833333333333334</v>
      </c>
      <c r="T47" s="34">
        <v>0.25555555555555554</v>
      </c>
      <c r="U47" s="21"/>
      <c r="V47" s="168">
        <f t="shared" ref="V47:V53" si="37">(T47-S47)*24*60</f>
        <v>67.999999999999957</v>
      </c>
      <c r="W47" s="21"/>
      <c r="X47" s="21"/>
      <c r="Y47" s="21"/>
      <c r="Z47" s="21"/>
      <c r="AA47" s="617"/>
      <c r="AB47" s="617"/>
      <c r="AC47" s="35">
        <v>7</v>
      </c>
      <c r="AD47" s="18"/>
      <c r="AE47" s="14">
        <f t="shared" si="8"/>
        <v>-74.70588235294008</v>
      </c>
      <c r="AF47" s="160">
        <f t="shared" si="9"/>
        <v>0.96264705882352997</v>
      </c>
      <c r="AG47" s="615">
        <f>AF54</f>
        <v>0.95897747005937928</v>
      </c>
    </row>
    <row r="48" spans="1:33" ht="15.75" customHeight="1">
      <c r="A48" s="630" t="s">
        <v>568</v>
      </c>
      <c r="B48" s="29" t="s">
        <v>19</v>
      </c>
      <c r="C48" s="616" t="s">
        <v>81</v>
      </c>
      <c r="D48" s="616"/>
      <c r="E48" s="29">
        <v>46</v>
      </c>
      <c r="F48" s="32">
        <v>3210</v>
      </c>
      <c r="G48" s="161">
        <f t="shared" si="35"/>
        <v>147660</v>
      </c>
      <c r="H48" s="33" t="s">
        <v>57</v>
      </c>
      <c r="I48" s="167">
        <v>16</v>
      </c>
      <c r="J48" s="31">
        <v>2000</v>
      </c>
      <c r="K48" s="12">
        <f t="shared" si="1"/>
        <v>125</v>
      </c>
      <c r="L48" s="167">
        <v>16</v>
      </c>
      <c r="M48" s="13">
        <f>F48/V48*60</f>
        <v>1906.9306930693076</v>
      </c>
      <c r="N48" s="13">
        <f t="shared" si="3"/>
        <v>119.18316831683173</v>
      </c>
      <c r="O48" s="14">
        <f t="shared" si="4"/>
        <v>0</v>
      </c>
      <c r="P48" s="15">
        <f t="shared" si="5"/>
        <v>-5.8168316831682745</v>
      </c>
      <c r="Q48" s="160">
        <f t="shared" si="6"/>
        <v>0.95346534653465376</v>
      </c>
      <c r="R48" s="615"/>
      <c r="S48" s="34">
        <v>0.25972222222222219</v>
      </c>
      <c r="T48" s="34">
        <v>0.32986111111111105</v>
      </c>
      <c r="U48" s="161">
        <f t="shared" ref="U48:U53" si="38">IF(S48=TIME(17,0,0),"",(S48-T47)*24*60)</f>
        <v>5.9999999999999787</v>
      </c>
      <c r="V48" s="168">
        <f t="shared" si="37"/>
        <v>100.99999999999996</v>
      </c>
      <c r="W48" s="16"/>
      <c r="X48" s="16"/>
      <c r="Y48" s="16"/>
      <c r="Z48" s="16"/>
      <c r="AA48" s="617"/>
      <c r="AB48" s="617"/>
      <c r="AC48" s="35"/>
      <c r="AD48" s="18"/>
      <c r="AE48" s="14">
        <f t="shared" si="8"/>
        <v>-93.069306930692392</v>
      </c>
      <c r="AF48" s="160">
        <f t="shared" si="9"/>
        <v>0.95346534653465376</v>
      </c>
      <c r="AG48" s="615"/>
    </row>
    <row r="49" spans="1:33" ht="15.75" customHeight="1">
      <c r="A49" s="630" t="s">
        <v>568</v>
      </c>
      <c r="B49" s="29" t="s">
        <v>15</v>
      </c>
      <c r="C49" s="622" t="s">
        <v>47</v>
      </c>
      <c r="D49" s="623"/>
      <c r="E49" s="29">
        <v>51.75</v>
      </c>
      <c r="F49" s="32">
        <v>587</v>
      </c>
      <c r="G49" s="161">
        <f t="shared" si="35"/>
        <v>30377.25</v>
      </c>
      <c r="H49" s="33" t="s">
        <v>57</v>
      </c>
      <c r="I49" s="167">
        <v>25</v>
      </c>
      <c r="J49" s="31">
        <v>2000</v>
      </c>
      <c r="K49" s="12">
        <f t="shared" si="1"/>
        <v>80</v>
      </c>
      <c r="L49" s="167">
        <v>25</v>
      </c>
      <c r="M49" s="13">
        <f t="shared" ref="M49:M53" si="39">F49/V49*60</f>
        <v>1956.6666666666652</v>
      </c>
      <c r="N49" s="13">
        <f t="shared" si="3"/>
        <v>78.266666666666609</v>
      </c>
      <c r="O49" s="14">
        <f t="shared" si="4"/>
        <v>0</v>
      </c>
      <c r="P49" s="15">
        <f t="shared" si="5"/>
        <v>-1.7333333333333911</v>
      </c>
      <c r="Q49" s="160">
        <f t="shared" si="6"/>
        <v>0.97833333333333261</v>
      </c>
      <c r="R49" s="615"/>
      <c r="S49" s="34">
        <v>0.33333333333333326</v>
      </c>
      <c r="T49" s="34">
        <v>0.34583333333333327</v>
      </c>
      <c r="U49" s="161">
        <f t="shared" si="38"/>
        <v>4.9999999999999822</v>
      </c>
      <c r="V49" s="168">
        <f t="shared" si="37"/>
        <v>18.000000000000014</v>
      </c>
      <c r="W49" s="16"/>
      <c r="X49" s="16"/>
      <c r="Y49" s="19"/>
      <c r="Z49" s="19"/>
      <c r="AA49" s="617"/>
      <c r="AB49" s="617"/>
      <c r="AC49" s="35"/>
      <c r="AD49" s="18"/>
      <c r="AE49" s="14">
        <f t="shared" si="8"/>
        <v>-43.333333333334849</v>
      </c>
      <c r="AF49" s="160">
        <f t="shared" si="9"/>
        <v>0.97833333333333261</v>
      </c>
      <c r="AG49" s="615"/>
    </row>
    <row r="50" spans="1:33" ht="15.75" customHeight="1">
      <c r="A50" s="630" t="s">
        <v>568</v>
      </c>
      <c r="B50" s="29" t="s">
        <v>15</v>
      </c>
      <c r="C50" s="163" t="s">
        <v>46</v>
      </c>
      <c r="D50" s="164"/>
      <c r="E50" s="29">
        <v>56.43</v>
      </c>
      <c r="F50" s="32">
        <v>1143</v>
      </c>
      <c r="G50" s="161">
        <f t="shared" si="35"/>
        <v>64499.49</v>
      </c>
      <c r="H50" s="33" t="s">
        <v>57</v>
      </c>
      <c r="I50" s="167">
        <v>22</v>
      </c>
      <c r="J50" s="31">
        <v>2000</v>
      </c>
      <c r="K50" s="12">
        <f t="shared" si="1"/>
        <v>90.909090909090907</v>
      </c>
      <c r="L50" s="167">
        <v>22</v>
      </c>
      <c r="M50" s="13">
        <f t="shared" si="39"/>
        <v>1904.9999999999984</v>
      </c>
      <c r="N50" s="13">
        <f t="shared" si="3"/>
        <v>86.590909090909022</v>
      </c>
      <c r="O50" s="14">
        <f t="shared" si="4"/>
        <v>0</v>
      </c>
      <c r="P50" s="15">
        <f t="shared" si="5"/>
        <v>-4.3181818181818841</v>
      </c>
      <c r="Q50" s="160">
        <f t="shared" si="6"/>
        <v>0.95249999999999924</v>
      </c>
      <c r="R50" s="615"/>
      <c r="S50" s="34">
        <v>0.34999999999999992</v>
      </c>
      <c r="T50" s="34">
        <v>0.37499999999999994</v>
      </c>
      <c r="U50" s="161">
        <f t="shared" si="38"/>
        <v>5.9999999999999787</v>
      </c>
      <c r="V50" s="168">
        <f t="shared" si="37"/>
        <v>36.000000000000028</v>
      </c>
      <c r="W50" s="16"/>
      <c r="X50" s="16"/>
      <c r="Y50" s="19"/>
      <c r="Z50" s="19"/>
      <c r="AA50" s="617"/>
      <c r="AB50" s="617"/>
      <c r="AC50" s="35"/>
      <c r="AD50" s="18"/>
      <c r="AE50" s="14">
        <f t="shared" si="8"/>
        <v>-95.000000000001592</v>
      </c>
      <c r="AF50" s="160">
        <f t="shared" si="9"/>
        <v>0.95249999999999924</v>
      </c>
      <c r="AG50" s="615"/>
    </row>
    <row r="51" spans="1:33" ht="15.75" customHeight="1">
      <c r="A51" s="630" t="s">
        <v>568</v>
      </c>
      <c r="B51" s="29" t="s">
        <v>15</v>
      </c>
      <c r="C51" s="163" t="s">
        <v>27</v>
      </c>
      <c r="D51" s="164"/>
      <c r="E51" s="29">
        <v>59.04</v>
      </c>
      <c r="F51" s="32">
        <v>2544</v>
      </c>
      <c r="G51" s="161">
        <f t="shared" si="35"/>
        <v>150197.76000000001</v>
      </c>
      <c r="H51" s="33" t="s">
        <v>57</v>
      </c>
      <c r="I51" s="167">
        <v>19</v>
      </c>
      <c r="J51" s="31">
        <v>2000</v>
      </c>
      <c r="K51" s="12">
        <f t="shared" si="1"/>
        <v>105.26315789473684</v>
      </c>
      <c r="L51" s="167">
        <v>19</v>
      </c>
      <c r="M51" s="13">
        <f t="shared" si="39"/>
        <v>1908.0000000000011</v>
      </c>
      <c r="N51" s="13">
        <f t="shared" si="3"/>
        <v>100.421052631579</v>
      </c>
      <c r="O51" s="14">
        <f t="shared" si="4"/>
        <v>0</v>
      </c>
      <c r="P51" s="15">
        <f t="shared" si="5"/>
        <v>-4.8421052631578334</v>
      </c>
      <c r="Q51" s="160">
        <f t="shared" si="6"/>
        <v>0.95400000000000063</v>
      </c>
      <c r="R51" s="615"/>
      <c r="S51" s="34">
        <v>0.3791666666666666</v>
      </c>
      <c r="T51" s="34">
        <v>0.43472222222222212</v>
      </c>
      <c r="U51" s="161">
        <f t="shared" si="38"/>
        <v>5.9999999999999787</v>
      </c>
      <c r="V51" s="168">
        <f t="shared" si="37"/>
        <v>79.999999999999957</v>
      </c>
      <c r="W51" s="16"/>
      <c r="X51" s="16"/>
      <c r="Y51" s="19"/>
      <c r="Z51" s="19"/>
      <c r="AA51" s="617"/>
      <c r="AB51" s="617"/>
      <c r="AC51" s="35"/>
      <c r="AD51" s="18"/>
      <c r="AE51" s="14">
        <f t="shared" si="8"/>
        <v>-91.999999999998863</v>
      </c>
      <c r="AF51" s="160">
        <f t="shared" si="9"/>
        <v>0.95400000000000051</v>
      </c>
      <c r="AG51" s="615"/>
    </row>
    <row r="52" spans="1:33" ht="15.75" customHeight="1">
      <c r="A52" s="630" t="s">
        <v>568</v>
      </c>
      <c r="B52" s="29" t="s">
        <v>15</v>
      </c>
      <c r="C52" s="622" t="s">
        <v>48</v>
      </c>
      <c r="D52" s="623"/>
      <c r="E52" s="29">
        <v>55.56</v>
      </c>
      <c r="F52" s="32">
        <v>1850</v>
      </c>
      <c r="G52" s="161">
        <f t="shared" si="35"/>
        <v>102786</v>
      </c>
      <c r="H52" s="33" t="s">
        <v>57</v>
      </c>
      <c r="I52" s="167">
        <v>17</v>
      </c>
      <c r="J52" s="31">
        <v>2000</v>
      </c>
      <c r="K52" s="12">
        <f t="shared" si="1"/>
        <v>117.64705882352941</v>
      </c>
      <c r="L52" s="167">
        <v>17</v>
      </c>
      <c r="M52" s="13">
        <f t="shared" si="39"/>
        <v>1913.7931034482772</v>
      </c>
      <c r="N52" s="13">
        <f t="shared" si="3"/>
        <v>112.57606490872219</v>
      </c>
      <c r="O52" s="14">
        <f t="shared" si="4"/>
        <v>0</v>
      </c>
      <c r="P52" s="15">
        <f t="shared" si="5"/>
        <v>-5.0709939148072181</v>
      </c>
      <c r="Q52" s="160">
        <f t="shared" si="6"/>
        <v>0.95689655172413868</v>
      </c>
      <c r="R52" s="615"/>
      <c r="S52" s="34">
        <v>0.70833333333333337</v>
      </c>
      <c r="T52" s="34">
        <v>0.74861111111111112</v>
      </c>
      <c r="U52" s="161" t="str">
        <f t="shared" si="38"/>
        <v/>
      </c>
      <c r="V52" s="168">
        <f t="shared" si="37"/>
        <v>57.999999999999957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-86.206896551722821</v>
      </c>
      <c r="AF52" s="160">
        <f t="shared" si="9"/>
        <v>0.95689655172413857</v>
      </c>
      <c r="AG52" s="615"/>
    </row>
    <row r="53" spans="1:33" ht="15.75" customHeight="1">
      <c r="A53" s="630" t="s">
        <v>568</v>
      </c>
      <c r="B53" s="29" t="s">
        <v>15</v>
      </c>
      <c r="C53" s="622" t="s">
        <v>82</v>
      </c>
      <c r="D53" s="623"/>
      <c r="E53" s="29">
        <v>51.06</v>
      </c>
      <c r="F53" s="32">
        <v>2674</v>
      </c>
      <c r="G53" s="161">
        <f t="shared" si="35"/>
        <v>136534.44</v>
      </c>
      <c r="H53" s="33" t="s">
        <v>57</v>
      </c>
      <c r="I53" s="167">
        <v>13</v>
      </c>
      <c r="J53" s="31">
        <v>2000</v>
      </c>
      <c r="K53" s="12">
        <f t="shared" si="1"/>
        <v>153.84615384615384</v>
      </c>
      <c r="L53" s="167">
        <v>13</v>
      </c>
      <c r="M53" s="13">
        <f t="shared" si="39"/>
        <v>1909.9999999999993</v>
      </c>
      <c r="N53" s="13">
        <f t="shared" si="3"/>
        <v>146.92307692307688</v>
      </c>
      <c r="O53" s="14">
        <f t="shared" si="4"/>
        <v>0</v>
      </c>
      <c r="P53" s="15">
        <f t="shared" si="5"/>
        <v>-6.9230769230769624</v>
      </c>
      <c r="Q53" s="160">
        <f t="shared" si="6"/>
        <v>0.95499999999999974</v>
      </c>
      <c r="R53" s="615"/>
      <c r="S53" s="34">
        <v>0.75347222222222221</v>
      </c>
      <c r="T53" s="34">
        <v>0.81180555555555556</v>
      </c>
      <c r="U53" s="161">
        <f t="shared" si="38"/>
        <v>6.9999999999999751</v>
      </c>
      <c r="V53" s="168">
        <f t="shared" si="37"/>
        <v>84.000000000000028</v>
      </c>
      <c r="W53" s="16"/>
      <c r="X53" s="16"/>
      <c r="Y53" s="19"/>
      <c r="Z53" s="19"/>
      <c r="AA53" s="624"/>
      <c r="AB53" s="625"/>
      <c r="AC53" s="35"/>
      <c r="AD53" s="18"/>
      <c r="AE53" s="14">
        <f t="shared" si="8"/>
        <v>-90.000000000000682</v>
      </c>
      <c r="AF53" s="160">
        <f t="shared" si="9"/>
        <v>0.95499999999999963</v>
      </c>
      <c r="AG53" s="615"/>
    </row>
    <row r="54" spans="1:33">
      <c r="A54" s="631" t="s">
        <v>568</v>
      </c>
      <c r="B54" s="29" t="s">
        <v>569</v>
      </c>
      <c r="C54" s="618"/>
      <c r="D54" s="618"/>
      <c r="E54" s="162"/>
      <c r="F54" s="30"/>
      <c r="G54" s="12"/>
      <c r="H54" s="169"/>
      <c r="I54" s="23">
        <v>18.285714285714285</v>
      </c>
      <c r="J54" s="31">
        <v>2000</v>
      </c>
      <c r="K54" s="12">
        <f t="shared" si="1"/>
        <v>109.375</v>
      </c>
      <c r="L54" s="23">
        <v>18.285714285714285</v>
      </c>
      <c r="M54" s="13">
        <f>AVERAGE(M47:M53)</f>
        <v>1917.9549401187585</v>
      </c>
      <c r="N54" s="12">
        <f t="shared" si="3"/>
        <v>104.88816078774461</v>
      </c>
      <c r="O54" s="14">
        <f t="shared" si="4"/>
        <v>0</v>
      </c>
      <c r="P54" s="15">
        <f t="shared" si="5"/>
        <v>-4.48683921225539</v>
      </c>
      <c r="Q54" s="160">
        <f t="shared" si="6"/>
        <v>0.95897747005937928</v>
      </c>
      <c r="R54" s="615"/>
      <c r="S54" s="34"/>
      <c r="T54" s="34"/>
      <c r="U54" s="161"/>
      <c r="V54" s="168"/>
      <c r="W54" s="12"/>
      <c r="X54" s="12"/>
      <c r="Y54" s="24">
        <f>SUM(Y47:Y53)</f>
        <v>0</v>
      </c>
      <c r="Z54" s="24">
        <f>SUM(Z47:Z53)</f>
        <v>0</v>
      </c>
      <c r="AA54" s="614"/>
      <c r="AB54" s="614"/>
      <c r="AC54" s="24">
        <v>7</v>
      </c>
      <c r="AD54" s="24">
        <f>SUM(AD47:AD53)</f>
        <v>0</v>
      </c>
      <c r="AE54" s="14">
        <f>M54-J54</f>
        <v>-82.045059881241514</v>
      </c>
      <c r="AF54" s="160">
        <f t="shared" si="9"/>
        <v>0.95897747005937928</v>
      </c>
      <c r="AG54" s="615"/>
    </row>
    <row r="55" spans="1:33" ht="15.75" customHeight="1">
      <c r="A55" s="626" t="s">
        <v>570</v>
      </c>
      <c r="B55" s="169" t="s">
        <v>40</v>
      </c>
      <c r="C55" s="616" t="s">
        <v>49</v>
      </c>
      <c r="D55" s="616"/>
      <c r="E55" s="29">
        <v>34.36</v>
      </c>
      <c r="F55" s="32">
        <v>1907</v>
      </c>
      <c r="G55" s="161">
        <f t="shared" ref="G55:G59" si="40">E55*F55</f>
        <v>65524.52</v>
      </c>
      <c r="H55" s="33" t="s">
        <v>57</v>
      </c>
      <c r="I55" s="167">
        <v>10</v>
      </c>
      <c r="J55" s="31">
        <v>3000</v>
      </c>
      <c r="K55" s="12">
        <f t="shared" si="1"/>
        <v>300</v>
      </c>
      <c r="L55" s="167">
        <v>10</v>
      </c>
      <c r="M55" s="13">
        <f t="shared" ref="M55:M59" si="41">F55/V55*60</f>
        <v>2860.5000000000014</v>
      </c>
      <c r="N55" s="12">
        <f t="shared" si="3"/>
        <v>286.05000000000013</v>
      </c>
      <c r="O55" s="14">
        <f t="shared" si="4"/>
        <v>0</v>
      </c>
      <c r="P55" s="15">
        <f t="shared" si="5"/>
        <v>-13.949999999999875</v>
      </c>
      <c r="Q55" s="160">
        <f t="shared" si="6"/>
        <v>0.95350000000000046</v>
      </c>
      <c r="R55" s="615">
        <f>Q60</f>
        <v>0.96450562428499276</v>
      </c>
      <c r="S55" s="34">
        <v>0.20833333333333334</v>
      </c>
      <c r="T55" s="34">
        <v>0.2361111111111111</v>
      </c>
      <c r="U55" s="161"/>
      <c r="V55" s="168">
        <f t="shared" ref="V55:V59" si="42">(T55-S55)*24*60</f>
        <v>39.999999999999979</v>
      </c>
      <c r="W55" s="21"/>
      <c r="X55" s="21"/>
      <c r="Y55" s="21"/>
      <c r="Z55" s="21"/>
      <c r="AA55" s="617"/>
      <c r="AB55" s="617"/>
      <c r="AC55" s="35">
        <v>5</v>
      </c>
      <c r="AD55" s="18"/>
      <c r="AE55" s="14">
        <f t="shared" ref="AE55:AE66" si="43">M55-J55</f>
        <v>-139.49999999999864</v>
      </c>
      <c r="AF55" s="160">
        <f t="shared" si="9"/>
        <v>0.95350000000000046</v>
      </c>
      <c r="AG55" s="615">
        <f>AF60</f>
        <v>0.96450562428499276</v>
      </c>
    </row>
    <row r="56" spans="1:33" ht="15.75" customHeight="1">
      <c r="A56" s="626" t="s">
        <v>570</v>
      </c>
      <c r="B56" s="169" t="s">
        <v>40</v>
      </c>
      <c r="C56" s="616" t="s">
        <v>50</v>
      </c>
      <c r="D56" s="616"/>
      <c r="E56" s="29">
        <v>34.36</v>
      </c>
      <c r="F56" s="32">
        <v>817</v>
      </c>
      <c r="G56" s="161">
        <f t="shared" si="40"/>
        <v>28072.12</v>
      </c>
      <c r="H56" s="33" t="s">
        <v>57</v>
      </c>
      <c r="I56" s="167">
        <v>10</v>
      </c>
      <c r="J56" s="31">
        <v>3000</v>
      </c>
      <c r="K56" s="12">
        <f t="shared" si="1"/>
        <v>300</v>
      </c>
      <c r="L56" s="167">
        <v>10</v>
      </c>
      <c r="M56" s="13">
        <f t="shared" si="41"/>
        <v>2883.5294117647095</v>
      </c>
      <c r="N56" s="12">
        <f t="shared" si="3"/>
        <v>288.35294117647095</v>
      </c>
      <c r="O56" s="14">
        <f t="shared" si="4"/>
        <v>0</v>
      </c>
      <c r="P56" s="15">
        <f t="shared" si="5"/>
        <v>-11.647058823529051</v>
      </c>
      <c r="Q56" s="160">
        <f t="shared" si="6"/>
        <v>0.96117647058823652</v>
      </c>
      <c r="R56" s="615"/>
      <c r="S56" s="34">
        <v>0.24027777777777778</v>
      </c>
      <c r="T56" s="34">
        <v>0.25208333333333333</v>
      </c>
      <c r="U56" s="161">
        <f t="shared" ref="U56:U59" si="44">(S56-T55)*24*60</f>
        <v>6.0000000000000187</v>
      </c>
      <c r="V56" s="168">
        <f t="shared" si="42"/>
        <v>16.999999999999979</v>
      </c>
      <c r="W56" s="161"/>
      <c r="X56" s="161"/>
      <c r="Y56" s="161"/>
      <c r="Z56" s="161"/>
      <c r="AA56" s="617"/>
      <c r="AB56" s="617"/>
      <c r="AC56" s="35"/>
      <c r="AD56" s="18"/>
      <c r="AE56" s="14">
        <f t="shared" si="43"/>
        <v>-116.47058823529051</v>
      </c>
      <c r="AF56" s="160">
        <f t="shared" si="9"/>
        <v>0.96117647058823652</v>
      </c>
      <c r="AG56" s="615"/>
    </row>
    <row r="57" spans="1:33" ht="15.75" customHeight="1">
      <c r="A57" s="626" t="s">
        <v>570</v>
      </c>
      <c r="B57" s="169" t="s">
        <v>40</v>
      </c>
      <c r="C57" s="616" t="s">
        <v>51</v>
      </c>
      <c r="D57" s="616"/>
      <c r="E57" s="29">
        <v>26.78</v>
      </c>
      <c r="F57" s="32">
        <v>2140</v>
      </c>
      <c r="G57" s="161">
        <f t="shared" si="40"/>
        <v>57309.200000000004</v>
      </c>
      <c r="H57" s="33" t="s">
        <v>57</v>
      </c>
      <c r="I57" s="167">
        <v>10</v>
      </c>
      <c r="J57" s="31">
        <v>3000</v>
      </c>
      <c r="K57" s="12">
        <f t="shared" si="1"/>
        <v>300</v>
      </c>
      <c r="L57" s="167">
        <v>10</v>
      </c>
      <c r="M57" s="13">
        <f t="shared" si="41"/>
        <v>2918.181818181818</v>
      </c>
      <c r="N57" s="12">
        <f t="shared" si="3"/>
        <v>291.81818181818181</v>
      </c>
      <c r="O57" s="14">
        <f t="shared" si="4"/>
        <v>0</v>
      </c>
      <c r="P57" s="15">
        <f t="shared" si="5"/>
        <v>-8.181818181818187</v>
      </c>
      <c r="Q57" s="160">
        <f t="shared" si="6"/>
        <v>0.97272727272727266</v>
      </c>
      <c r="R57" s="615"/>
      <c r="S57" s="34">
        <v>0.25555555555555554</v>
      </c>
      <c r="T57" s="34">
        <v>0.28611111111111109</v>
      </c>
      <c r="U57" s="161">
        <f t="shared" si="44"/>
        <v>4.9999999999999822</v>
      </c>
      <c r="V57" s="168">
        <f t="shared" si="42"/>
        <v>44</v>
      </c>
      <c r="W57" s="161"/>
      <c r="X57" s="161"/>
      <c r="Y57" s="161"/>
      <c r="Z57" s="161"/>
      <c r="AA57" s="617"/>
      <c r="AB57" s="617"/>
      <c r="AC57" s="35"/>
      <c r="AD57" s="18"/>
      <c r="AE57" s="14">
        <f t="shared" si="43"/>
        <v>-81.818181818181984</v>
      </c>
      <c r="AF57" s="160">
        <f t="shared" si="9"/>
        <v>0.97272727272727266</v>
      </c>
      <c r="AG57" s="615"/>
    </row>
    <row r="58" spans="1:33" ht="15.75" customHeight="1">
      <c r="A58" s="626" t="s">
        <v>570</v>
      </c>
      <c r="B58" s="169" t="s">
        <v>40</v>
      </c>
      <c r="C58" s="616" t="s">
        <v>52</v>
      </c>
      <c r="D58" s="616"/>
      <c r="E58" s="29">
        <v>35.869999999999997</v>
      </c>
      <c r="F58" s="32">
        <v>3222</v>
      </c>
      <c r="G58" s="161">
        <f t="shared" si="40"/>
        <v>115573.13999999998</v>
      </c>
      <c r="H58" s="33" t="s">
        <v>57</v>
      </c>
      <c r="I58" s="167">
        <v>9</v>
      </c>
      <c r="J58" s="31">
        <v>3000</v>
      </c>
      <c r="K58" s="12">
        <f t="shared" si="1"/>
        <v>333.33333333333331</v>
      </c>
      <c r="L58" s="167">
        <v>9</v>
      </c>
      <c r="M58" s="13">
        <f t="shared" si="41"/>
        <v>2885.3731343283584</v>
      </c>
      <c r="N58" s="12">
        <f t="shared" si="3"/>
        <v>320.59701492537317</v>
      </c>
      <c r="O58" s="14">
        <f t="shared" si="4"/>
        <v>0</v>
      </c>
      <c r="P58" s="15">
        <f t="shared" si="5"/>
        <v>-12.736318407960141</v>
      </c>
      <c r="Q58" s="160">
        <f t="shared" si="6"/>
        <v>0.96179104477611954</v>
      </c>
      <c r="R58" s="615"/>
      <c r="S58" s="34">
        <v>0.29027777777777775</v>
      </c>
      <c r="T58" s="34">
        <v>0.33680555555555552</v>
      </c>
      <c r="U58" s="161">
        <f t="shared" si="44"/>
        <v>5.9999999999999787</v>
      </c>
      <c r="V58" s="168">
        <f t="shared" si="42"/>
        <v>67</v>
      </c>
      <c r="W58" s="161"/>
      <c r="X58" s="161"/>
      <c r="Y58" s="161"/>
      <c r="Z58" s="161"/>
      <c r="AA58" s="617"/>
      <c r="AB58" s="617"/>
      <c r="AC58" s="35"/>
      <c r="AD58" s="18"/>
      <c r="AE58" s="14">
        <f t="shared" si="43"/>
        <v>-114.62686567164155</v>
      </c>
      <c r="AF58" s="160">
        <f t="shared" si="9"/>
        <v>0.96179104477611943</v>
      </c>
      <c r="AG58" s="615"/>
    </row>
    <row r="59" spans="1:33">
      <c r="A59" s="627" t="s">
        <v>570</v>
      </c>
      <c r="B59" s="169" t="s">
        <v>40</v>
      </c>
      <c r="C59" s="616" t="s">
        <v>53</v>
      </c>
      <c r="D59" s="616"/>
      <c r="E59" s="29">
        <v>34.35</v>
      </c>
      <c r="F59" s="32">
        <v>1606</v>
      </c>
      <c r="G59" s="161">
        <f t="shared" si="40"/>
        <v>55166.100000000006</v>
      </c>
      <c r="H59" s="33" t="s">
        <v>57</v>
      </c>
      <c r="I59" s="167">
        <v>8</v>
      </c>
      <c r="J59" s="31">
        <v>3000</v>
      </c>
      <c r="K59" s="12">
        <f t="shared" si="1"/>
        <v>375</v>
      </c>
      <c r="L59" s="167">
        <v>8</v>
      </c>
      <c r="M59" s="13">
        <f t="shared" si="41"/>
        <v>2920.0000000000032</v>
      </c>
      <c r="N59" s="12">
        <f t="shared" si="3"/>
        <v>365.0000000000004</v>
      </c>
      <c r="O59" s="14">
        <f t="shared" si="4"/>
        <v>0</v>
      </c>
      <c r="P59" s="15">
        <f t="shared" si="5"/>
        <v>-9.9999999999996021</v>
      </c>
      <c r="Q59" s="160">
        <f t="shared" si="6"/>
        <v>0.97333333333333438</v>
      </c>
      <c r="R59" s="615"/>
      <c r="S59" s="34">
        <v>0.34166666666666662</v>
      </c>
      <c r="T59" s="34">
        <v>0.36458333333333326</v>
      </c>
      <c r="U59" s="161">
        <f t="shared" si="44"/>
        <v>6.9999999999999751</v>
      </c>
      <c r="V59" s="168">
        <f t="shared" si="42"/>
        <v>32.999999999999964</v>
      </c>
      <c r="W59" s="16"/>
      <c r="X59" s="16"/>
      <c r="Y59" s="16"/>
      <c r="Z59" s="16"/>
      <c r="AA59" s="617"/>
      <c r="AB59" s="617"/>
      <c r="AC59" s="35"/>
      <c r="AD59" s="18"/>
      <c r="AE59" s="14">
        <f t="shared" si="43"/>
        <v>-79.999999999996817</v>
      </c>
      <c r="AF59" s="160">
        <f t="shared" si="9"/>
        <v>0.97333333333333438</v>
      </c>
      <c r="AG59" s="615"/>
    </row>
    <row r="60" spans="1:33">
      <c r="A60" s="627" t="s">
        <v>570</v>
      </c>
      <c r="B60" s="29" t="s">
        <v>569</v>
      </c>
      <c r="C60" s="618"/>
      <c r="D60" s="618"/>
      <c r="E60" s="162"/>
      <c r="F60" s="30"/>
      <c r="G60" s="12"/>
      <c r="H60" s="169"/>
      <c r="I60" s="23">
        <v>9.4</v>
      </c>
      <c r="J60" s="31">
        <v>3000</v>
      </c>
      <c r="K60" s="12">
        <f t="shared" si="1"/>
        <v>319.14893617021278</v>
      </c>
      <c r="L60" s="23">
        <v>9.4</v>
      </c>
      <c r="M60" s="13">
        <f>AVERAGE(M55:M59)</f>
        <v>2893.5168728549784</v>
      </c>
      <c r="N60" s="12">
        <f t="shared" si="3"/>
        <v>307.82094392074237</v>
      </c>
      <c r="O60" s="14">
        <f t="shared" si="4"/>
        <v>0</v>
      </c>
      <c r="P60" s="15">
        <f t="shared" si="5"/>
        <v>-11.327992249470412</v>
      </c>
      <c r="Q60" s="160">
        <f t="shared" si="6"/>
        <v>0.96450562428499276</v>
      </c>
      <c r="R60" s="615"/>
      <c r="S60" s="34"/>
      <c r="T60" s="34"/>
      <c r="U60" s="12"/>
      <c r="V60" s="168"/>
      <c r="W60" s="12"/>
      <c r="X60" s="12"/>
      <c r="Y60" s="24">
        <f>SUM(Y55:Y59)</f>
        <v>0</v>
      </c>
      <c r="Z60" s="24">
        <f>SUM(Z55:Z59)</f>
        <v>0</v>
      </c>
      <c r="AA60" s="614"/>
      <c r="AB60" s="614"/>
      <c r="AC60" s="24">
        <v>5</v>
      </c>
      <c r="AD60" s="24">
        <f>SUM(AD55:AD59)</f>
        <v>0</v>
      </c>
      <c r="AE60" s="14">
        <f t="shared" si="43"/>
        <v>-106.48312714502163</v>
      </c>
      <c r="AF60" s="160">
        <f t="shared" si="9"/>
        <v>0.96450562428499276</v>
      </c>
      <c r="AG60" s="615"/>
    </row>
    <row r="61" spans="1:33" ht="15.75" customHeight="1">
      <c r="A61" s="619" t="s">
        <v>571</v>
      </c>
      <c r="B61" s="169" t="s">
        <v>32</v>
      </c>
      <c r="C61" s="616" t="s">
        <v>55</v>
      </c>
      <c r="D61" s="616"/>
      <c r="E61" s="29">
        <v>22.69</v>
      </c>
      <c r="F61" s="169">
        <v>3151</v>
      </c>
      <c r="G61" s="161">
        <f t="shared" ref="G61:G65" si="45">E61*F61</f>
        <v>71496.19</v>
      </c>
      <c r="H61" s="33" t="s">
        <v>57</v>
      </c>
      <c r="I61" s="167">
        <v>15</v>
      </c>
      <c r="J61" s="31">
        <v>2400</v>
      </c>
      <c r="K61" s="12">
        <f t="shared" si="1"/>
        <v>160</v>
      </c>
      <c r="L61" s="167">
        <v>15</v>
      </c>
      <c r="M61" s="13">
        <f t="shared" ref="M61:M65" si="46">F61/V61*60</f>
        <v>2305.6097560975613</v>
      </c>
      <c r="N61" s="12">
        <f t="shared" si="3"/>
        <v>153.70731707317074</v>
      </c>
      <c r="O61" s="14">
        <f t="shared" si="4"/>
        <v>0</v>
      </c>
      <c r="P61" s="15">
        <f t="shared" si="5"/>
        <v>-6.2926829268292579</v>
      </c>
      <c r="Q61" s="160">
        <f t="shared" si="6"/>
        <v>0.96067073170731709</v>
      </c>
      <c r="R61" s="615">
        <f>Q66</f>
        <v>0.95541954432621945</v>
      </c>
      <c r="S61" s="34">
        <v>8.3333333333333329E-2</v>
      </c>
      <c r="T61" s="34">
        <v>0.14027777777777778</v>
      </c>
      <c r="U61" s="21"/>
      <c r="V61" s="168">
        <f t="shared" ref="V61:V65" si="47">(T61-S61)*24*60</f>
        <v>82</v>
      </c>
      <c r="W61" s="16">
        <f>T61</f>
        <v>0.14027777777777778</v>
      </c>
      <c r="X61" s="16">
        <f>S62</f>
        <v>0.15972222222222224</v>
      </c>
      <c r="Y61" s="16"/>
      <c r="Z61" s="16"/>
      <c r="AA61" s="617"/>
      <c r="AB61" s="617"/>
      <c r="AC61" s="35">
        <v>5</v>
      </c>
      <c r="AD61" s="18"/>
      <c r="AE61" s="14">
        <f t="shared" si="43"/>
        <v>-94.390243902438669</v>
      </c>
      <c r="AF61" s="160">
        <f t="shared" si="9"/>
        <v>0.9606707317073172</v>
      </c>
      <c r="AG61" s="615">
        <f>AF66</f>
        <v>0.95541954432621956</v>
      </c>
    </row>
    <row r="62" spans="1:33" ht="15.75" customHeight="1">
      <c r="A62" s="620" t="s">
        <v>571</v>
      </c>
      <c r="B62" s="169" t="s">
        <v>32</v>
      </c>
      <c r="C62" s="616" t="s">
        <v>54</v>
      </c>
      <c r="D62" s="616"/>
      <c r="E62" s="29">
        <v>20.21</v>
      </c>
      <c r="F62" s="169">
        <v>2782</v>
      </c>
      <c r="G62" s="161">
        <f t="shared" si="45"/>
        <v>56224.22</v>
      </c>
      <c r="H62" s="33" t="s">
        <v>57</v>
      </c>
      <c r="I62" s="167">
        <v>15</v>
      </c>
      <c r="J62" s="31">
        <v>2400</v>
      </c>
      <c r="K62" s="12">
        <f t="shared" si="1"/>
        <v>160</v>
      </c>
      <c r="L62" s="167">
        <v>15</v>
      </c>
      <c r="M62" s="13">
        <f t="shared" si="46"/>
        <v>2286.5753424657537</v>
      </c>
      <c r="N62" s="12">
        <f t="shared" si="3"/>
        <v>152.43835616438358</v>
      </c>
      <c r="O62" s="14">
        <f t="shared" si="4"/>
        <v>0</v>
      </c>
      <c r="P62" s="15">
        <f t="shared" si="5"/>
        <v>-7.5616438356164224</v>
      </c>
      <c r="Q62" s="160">
        <f t="shared" si="6"/>
        <v>0.95273972602739732</v>
      </c>
      <c r="R62" s="615"/>
      <c r="S62" s="34">
        <v>0.15972222222222224</v>
      </c>
      <c r="T62" s="34">
        <v>0.21041666666666667</v>
      </c>
      <c r="U62" s="161">
        <f t="shared" ref="U62:U65" si="48">(S62-T61)*24*60</f>
        <v>28.000000000000021</v>
      </c>
      <c r="V62" s="168">
        <f t="shared" si="47"/>
        <v>72.999999999999986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-113.42465753424631</v>
      </c>
      <c r="AF62" s="160">
        <f t="shared" si="9"/>
        <v>0.95273972602739743</v>
      </c>
      <c r="AG62" s="615"/>
    </row>
    <row r="63" spans="1:33" ht="15.75" customHeight="1">
      <c r="A63" s="620" t="s">
        <v>571</v>
      </c>
      <c r="B63" s="169" t="s">
        <v>32</v>
      </c>
      <c r="C63" s="616" t="s">
        <v>84</v>
      </c>
      <c r="D63" s="616"/>
      <c r="E63" s="29">
        <v>20.21</v>
      </c>
      <c r="F63" s="169">
        <v>4160</v>
      </c>
      <c r="G63" s="161">
        <f t="shared" si="45"/>
        <v>84073.600000000006</v>
      </c>
      <c r="H63" s="33" t="s">
        <v>57</v>
      </c>
      <c r="I63" s="167">
        <v>18</v>
      </c>
      <c r="J63" s="31">
        <v>2400</v>
      </c>
      <c r="K63" s="12">
        <f t="shared" si="1"/>
        <v>133.33333333333334</v>
      </c>
      <c r="L63" s="167">
        <v>18</v>
      </c>
      <c r="M63" s="13">
        <f t="shared" si="46"/>
        <v>2289.9082568807339</v>
      </c>
      <c r="N63" s="12">
        <f t="shared" si="3"/>
        <v>127.21712538226299</v>
      </c>
      <c r="O63" s="14">
        <f t="shared" si="4"/>
        <v>0</v>
      </c>
      <c r="P63" s="15">
        <f t="shared" si="5"/>
        <v>-6.1162079510703506</v>
      </c>
      <c r="Q63" s="160">
        <f t="shared" si="6"/>
        <v>0.95412844036697242</v>
      </c>
      <c r="R63" s="615"/>
      <c r="S63" s="34">
        <v>0.21527777777777779</v>
      </c>
      <c r="T63" s="34">
        <v>0.29097222222222224</v>
      </c>
      <c r="U63" s="161">
        <f t="shared" si="48"/>
        <v>7.0000000000000151</v>
      </c>
      <c r="V63" s="168">
        <f t="shared" si="47"/>
        <v>109.00000000000001</v>
      </c>
      <c r="W63" s="16"/>
      <c r="X63" s="16"/>
      <c r="Y63" s="16"/>
      <c r="Z63" s="16"/>
      <c r="AA63" s="617"/>
      <c r="AB63" s="617"/>
      <c r="AC63" s="35"/>
      <c r="AD63" s="18"/>
      <c r="AE63" s="14">
        <f t="shared" si="43"/>
        <v>-110.09174311926608</v>
      </c>
      <c r="AF63" s="160">
        <f t="shared" si="9"/>
        <v>0.95412844036697242</v>
      </c>
      <c r="AG63" s="615"/>
    </row>
    <row r="64" spans="1:33" ht="15.75" customHeight="1">
      <c r="A64" s="620" t="s">
        <v>571</v>
      </c>
      <c r="B64" s="169" t="s">
        <v>32</v>
      </c>
      <c r="C64" s="616" t="s">
        <v>36</v>
      </c>
      <c r="D64" s="616"/>
      <c r="E64" s="29">
        <v>20.36</v>
      </c>
      <c r="F64" s="169">
        <v>3892</v>
      </c>
      <c r="G64" s="161">
        <f t="shared" si="45"/>
        <v>79241.119999999995</v>
      </c>
      <c r="H64" s="33" t="s">
        <v>57</v>
      </c>
      <c r="I64" s="167">
        <v>17</v>
      </c>
      <c r="J64" s="31">
        <v>2400</v>
      </c>
      <c r="K64" s="12">
        <f t="shared" si="1"/>
        <v>141.1764705882353</v>
      </c>
      <c r="L64" s="167">
        <v>17</v>
      </c>
      <c r="M64" s="13">
        <f t="shared" si="46"/>
        <v>2289.4117647058815</v>
      </c>
      <c r="N64" s="12">
        <f t="shared" si="3"/>
        <v>134.67128027681656</v>
      </c>
      <c r="O64" s="14">
        <f t="shared" si="4"/>
        <v>0</v>
      </c>
      <c r="P64" s="15">
        <f t="shared" si="5"/>
        <v>-6.5051903114187439</v>
      </c>
      <c r="Q64" s="160">
        <f t="shared" si="6"/>
        <v>0.95392156862745059</v>
      </c>
      <c r="R64" s="615"/>
      <c r="S64" s="34">
        <v>0.29652777777777778</v>
      </c>
      <c r="T64" s="34">
        <v>0.36736111111111114</v>
      </c>
      <c r="U64" s="161">
        <f t="shared" si="48"/>
        <v>7.9999999999999716</v>
      </c>
      <c r="V64" s="168">
        <f t="shared" si="47"/>
        <v>102.00000000000004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-110.58823529411848</v>
      </c>
      <c r="AF64" s="160">
        <f t="shared" si="9"/>
        <v>0.95392156862745059</v>
      </c>
      <c r="AG64" s="615"/>
    </row>
    <row r="65" spans="1:33" ht="15.75" customHeight="1">
      <c r="A65" s="620" t="s">
        <v>571</v>
      </c>
      <c r="B65" s="169" t="s">
        <v>32</v>
      </c>
      <c r="C65" s="616" t="s">
        <v>56</v>
      </c>
      <c r="D65" s="616"/>
      <c r="E65" s="29">
        <v>19.02</v>
      </c>
      <c r="F65" s="169">
        <v>7798</v>
      </c>
      <c r="G65" s="161">
        <f t="shared" si="45"/>
        <v>148317.96</v>
      </c>
      <c r="H65" s="33" t="s">
        <v>57</v>
      </c>
      <c r="I65" s="167">
        <v>14</v>
      </c>
      <c r="J65" s="31">
        <v>2400</v>
      </c>
      <c r="K65" s="12">
        <f t="shared" si="1"/>
        <v>171.42857142857142</v>
      </c>
      <c r="L65" s="167">
        <v>14</v>
      </c>
      <c r="M65" s="13">
        <f t="shared" si="46"/>
        <v>2293.5294117647049</v>
      </c>
      <c r="N65" s="12">
        <f t="shared" si="3"/>
        <v>163.82352941176464</v>
      </c>
      <c r="O65" s="14">
        <f t="shared" si="4"/>
        <v>0</v>
      </c>
      <c r="P65" s="15">
        <f t="shared" si="5"/>
        <v>-7.6050420168067774</v>
      </c>
      <c r="Q65" s="160">
        <f t="shared" si="6"/>
        <v>0.9556372549019605</v>
      </c>
      <c r="R65" s="615"/>
      <c r="S65" s="34">
        <v>0.37291666666666667</v>
      </c>
      <c r="T65" s="34">
        <v>0.51458333333333339</v>
      </c>
      <c r="U65" s="161">
        <f t="shared" si="48"/>
        <v>7.9999999999999716</v>
      </c>
      <c r="V65" s="168">
        <f t="shared" si="47"/>
        <v>204.00000000000009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-106.47058823529505</v>
      </c>
      <c r="AF65" s="160">
        <f t="shared" si="9"/>
        <v>0.95563725490196039</v>
      </c>
      <c r="AG65" s="615"/>
    </row>
    <row r="66" spans="1:33" ht="16.5" customHeight="1">
      <c r="A66" s="621" t="s">
        <v>571</v>
      </c>
      <c r="B66" s="29" t="s">
        <v>569</v>
      </c>
      <c r="C66" s="612"/>
      <c r="D66" s="613"/>
      <c r="E66" s="162"/>
      <c r="F66" s="30"/>
      <c r="G66" s="12"/>
      <c r="H66" s="169"/>
      <c r="I66" s="23">
        <v>15.8</v>
      </c>
      <c r="J66" s="31">
        <v>2400</v>
      </c>
      <c r="K66" s="12">
        <f t="shared" si="1"/>
        <v>151.89873417721518</v>
      </c>
      <c r="L66" s="23">
        <v>15.8</v>
      </c>
      <c r="M66" s="13">
        <f>AVERAGE(M61:M65)</f>
        <v>2293.0069063829269</v>
      </c>
      <c r="N66" s="12">
        <f t="shared" si="3"/>
        <v>145.12701939132447</v>
      </c>
      <c r="O66" s="14">
        <f t="shared" si="4"/>
        <v>0</v>
      </c>
      <c r="P66" s="15">
        <f t="shared" si="5"/>
        <v>-6.7717147858907083</v>
      </c>
      <c r="Q66" s="160">
        <f t="shared" si="6"/>
        <v>0.95541954432621945</v>
      </c>
      <c r="R66" s="615"/>
      <c r="S66" s="34"/>
      <c r="T66" s="34"/>
      <c r="U66" s="12"/>
      <c r="V66" s="168"/>
      <c r="W66" s="12"/>
      <c r="X66" s="12"/>
      <c r="Y66" s="24">
        <f>SUM(Y61:Y65)</f>
        <v>0</v>
      </c>
      <c r="Z66" s="24">
        <f>SUM(Z61:Z65)</f>
        <v>0</v>
      </c>
      <c r="AA66" s="614"/>
      <c r="AB66" s="614"/>
      <c r="AC66" s="24">
        <v>5</v>
      </c>
      <c r="AD66" s="24">
        <f>SUM(AD61:AD65)</f>
        <v>0</v>
      </c>
      <c r="AE66" s="14">
        <f t="shared" si="43"/>
        <v>-106.9930936170731</v>
      </c>
      <c r="AF66" s="160">
        <f t="shared" si="9"/>
        <v>0.95541954432621956</v>
      </c>
      <c r="AG66" s="615"/>
    </row>
    <row r="67" spans="1:33">
      <c r="D67" s="25"/>
      <c r="E67" s="25"/>
    </row>
  </sheetData>
  <mergeCells count="181"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6"/>
    <mergeCell ref="C61:D61"/>
    <mergeCell ref="R61:R66"/>
    <mergeCell ref="AA61:AB61"/>
    <mergeCell ref="AA66:AB66"/>
    <mergeCell ref="A55:A60"/>
    <mergeCell ref="C55:D55"/>
    <mergeCell ref="R55:R60"/>
    <mergeCell ref="AA55:AB55"/>
    <mergeCell ref="AG55:AG60"/>
    <mergeCell ref="C56:D56"/>
    <mergeCell ref="AA56:AB56"/>
    <mergeCell ref="C57:D57"/>
    <mergeCell ref="AA57:AB57"/>
    <mergeCell ref="C58:D58"/>
    <mergeCell ref="AG47:AG54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A58:AB58"/>
    <mergeCell ref="C59:D59"/>
    <mergeCell ref="AA59:AB59"/>
    <mergeCell ref="C60:D60"/>
    <mergeCell ref="AA60:AB60"/>
    <mergeCell ref="A47:A54"/>
    <mergeCell ref="C47:D47"/>
    <mergeCell ref="R47:R54"/>
    <mergeCell ref="AA47:AB47"/>
    <mergeCell ref="AA53:AB53"/>
    <mergeCell ref="C54:D54"/>
    <mergeCell ref="AA54:AB54"/>
    <mergeCell ref="A42:A46"/>
    <mergeCell ref="C42:D42"/>
    <mergeCell ref="R42:R46"/>
    <mergeCell ref="AA42:AB42"/>
    <mergeCell ref="AG42:AG46"/>
    <mergeCell ref="C43:D43"/>
    <mergeCell ref="AA43:AB43"/>
    <mergeCell ref="C44:D44"/>
    <mergeCell ref="AA44:AB44"/>
    <mergeCell ref="C45:D45"/>
    <mergeCell ref="AA38:AB38"/>
    <mergeCell ref="C39:D39"/>
    <mergeCell ref="AA39:AB39"/>
    <mergeCell ref="C40:D40"/>
    <mergeCell ref="AA40:AB40"/>
    <mergeCell ref="C41:D41"/>
    <mergeCell ref="AA41:AB41"/>
    <mergeCell ref="AA45:AB45"/>
    <mergeCell ref="C46:D46"/>
    <mergeCell ref="AA46:AB46"/>
    <mergeCell ref="C34:D34"/>
    <mergeCell ref="A35:A41"/>
    <mergeCell ref="C35:D35"/>
    <mergeCell ref="R35:R41"/>
    <mergeCell ref="AA35:AB35"/>
    <mergeCell ref="AG35:AG41"/>
    <mergeCell ref="C36:D36"/>
    <mergeCell ref="AA36:AB36"/>
    <mergeCell ref="C37:D37"/>
    <mergeCell ref="AA37:AB37"/>
    <mergeCell ref="C38:D38"/>
    <mergeCell ref="A29:A34"/>
    <mergeCell ref="C29:D29"/>
    <mergeCell ref="R29:R34"/>
    <mergeCell ref="AA29:AB29"/>
    <mergeCell ref="AA34:AB34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A33:AB33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C28:D28"/>
    <mergeCell ref="AA28:AB28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4:O55 O58:O66 O5:O9 O13:O15 O21:O52">
    <cfRule type="cellIs" dxfId="357" priority="46" operator="greaterThan">
      <formula>0</formula>
    </cfRule>
  </conditionalFormatting>
  <conditionalFormatting sqref="P5:P7 P58:P59 AE58:AE59 P61:P65 P29:P33 P55 P9 P13:P15 P22:P27 P47:P52 P35:P45 AE5:AE55 AE61:AE66">
    <cfRule type="cellIs" dxfId="356" priority="50" operator="lessThan">
      <formula>0</formula>
    </cfRule>
  </conditionalFormatting>
  <conditionalFormatting sqref="AF58:AF59 Q54:Q55 Q58:Q66 Q5:Q9 Q13:Q15 Q21:Q52 AF5:AF55 AF61:AF66">
    <cfRule type="cellIs" dxfId="355" priority="47" operator="greaterThan">
      <formula>1</formula>
    </cfRule>
    <cfRule type="cellIs" dxfId="354" priority="48" operator="lessThan">
      <formula>0.8</formula>
    </cfRule>
  </conditionalFormatting>
  <conditionalFormatting sqref="AG14:AG15 R14:R15 AG58 AG54:AG55 R54:R55 R58:R66 AG5:AG9 R5:R9 AG21:AG52 R21:R52">
    <cfRule type="cellIs" dxfId="353" priority="52" operator="lessThan">
      <formula>0.8</formula>
    </cfRule>
  </conditionalFormatting>
  <conditionalFormatting sqref="AG42">
    <cfRule type="cellIs" dxfId="352" priority="54" operator="lessThan">
      <formula>0.8</formula>
    </cfRule>
  </conditionalFormatting>
  <conditionalFormatting sqref="AG22:AG27">
    <cfRule type="cellIs" dxfId="351" priority="51" operator="lessThan">
      <formula>0.8</formula>
    </cfRule>
  </conditionalFormatting>
  <conditionalFormatting sqref="AG29">
    <cfRule type="cellIs" dxfId="350" priority="53" operator="lessThan">
      <formula>0.8</formula>
    </cfRule>
  </conditionalFormatting>
  <conditionalFormatting sqref="AG35:AG40">
    <cfRule type="cellIs" dxfId="349" priority="49" operator="lessThan">
      <formula>0.8</formula>
    </cfRule>
  </conditionalFormatting>
  <conditionalFormatting sqref="AE60">
    <cfRule type="cellIs" dxfId="348" priority="45" operator="lessThan">
      <formula>0</formula>
    </cfRule>
  </conditionalFormatting>
  <conditionalFormatting sqref="AF60">
    <cfRule type="cellIs" dxfId="347" priority="43" operator="greaterThan">
      <formula>1</formula>
    </cfRule>
    <cfRule type="cellIs" dxfId="346" priority="44" operator="lessThan">
      <formula>0.8</formula>
    </cfRule>
  </conditionalFormatting>
  <conditionalFormatting sqref="O16:O17">
    <cfRule type="cellIs" dxfId="345" priority="38" operator="greaterThan">
      <formula>0</formula>
    </cfRule>
  </conditionalFormatting>
  <conditionalFormatting sqref="P16:P17">
    <cfRule type="cellIs" dxfId="344" priority="41" operator="lessThan">
      <formula>0</formula>
    </cfRule>
  </conditionalFormatting>
  <conditionalFormatting sqref="Q16:Q17">
    <cfRule type="cellIs" dxfId="343" priority="39" operator="greaterThan">
      <formula>1</formula>
    </cfRule>
    <cfRule type="cellIs" dxfId="342" priority="40" operator="lessThan">
      <formula>0.8</formula>
    </cfRule>
  </conditionalFormatting>
  <conditionalFormatting sqref="R16:R17 AG16:AG17">
    <cfRule type="cellIs" dxfId="341" priority="42" operator="lessThan">
      <formula>0.8</formula>
    </cfRule>
  </conditionalFormatting>
  <conditionalFormatting sqref="O10:O12">
    <cfRule type="cellIs" dxfId="340" priority="34" operator="greaterThan">
      <formula>0</formula>
    </cfRule>
  </conditionalFormatting>
  <conditionalFormatting sqref="P10:P12">
    <cfRule type="cellIs" dxfId="339" priority="37" operator="lessThan">
      <formula>0</formula>
    </cfRule>
  </conditionalFormatting>
  <conditionalFormatting sqref="Q10:Q12">
    <cfRule type="cellIs" dxfId="338" priority="35" operator="greaterThan">
      <formula>1</formula>
    </cfRule>
    <cfRule type="cellIs" dxfId="337" priority="36" operator="lessThan">
      <formula>0.8</formula>
    </cfRule>
  </conditionalFormatting>
  <conditionalFormatting sqref="O53">
    <cfRule type="cellIs" dxfId="336" priority="29" operator="greaterThan">
      <formula>0</formula>
    </cfRule>
  </conditionalFormatting>
  <conditionalFormatting sqref="P53">
    <cfRule type="cellIs" dxfId="335" priority="32" operator="lessThan">
      <formula>0</formula>
    </cfRule>
  </conditionalFormatting>
  <conditionalFormatting sqref="Q53">
    <cfRule type="cellIs" dxfId="334" priority="30" operator="greaterThan">
      <formula>1</formula>
    </cfRule>
    <cfRule type="cellIs" dxfId="333" priority="31" operator="lessThan">
      <formula>0.8</formula>
    </cfRule>
  </conditionalFormatting>
  <conditionalFormatting sqref="R53 AG53">
    <cfRule type="cellIs" dxfId="332" priority="33" operator="lessThan">
      <formula>0.8</formula>
    </cfRule>
  </conditionalFormatting>
  <conditionalFormatting sqref="O57">
    <cfRule type="cellIs" dxfId="331" priority="24" operator="greaterThan">
      <formula>0</formula>
    </cfRule>
  </conditionalFormatting>
  <conditionalFormatting sqref="P57 AE57">
    <cfRule type="cellIs" dxfId="330" priority="27" operator="lessThan">
      <formula>0</formula>
    </cfRule>
  </conditionalFormatting>
  <conditionalFormatting sqref="Q57 AF57">
    <cfRule type="cellIs" dxfId="329" priority="25" operator="greaterThan">
      <formula>1</formula>
    </cfRule>
    <cfRule type="cellIs" dxfId="328" priority="26" operator="lessThan">
      <formula>0.8</formula>
    </cfRule>
  </conditionalFormatting>
  <conditionalFormatting sqref="R57 AG57">
    <cfRule type="cellIs" dxfId="327" priority="28" operator="lessThan">
      <formula>0.8</formula>
    </cfRule>
  </conditionalFormatting>
  <conditionalFormatting sqref="O18:O19">
    <cfRule type="cellIs" dxfId="326" priority="19" operator="greaterThan">
      <formula>0</formula>
    </cfRule>
  </conditionalFormatting>
  <conditionalFormatting sqref="P18:P19">
    <cfRule type="cellIs" dxfId="325" priority="22" operator="lessThan">
      <formula>0</formula>
    </cfRule>
  </conditionalFormatting>
  <conditionalFormatting sqref="Q18:Q19">
    <cfRule type="cellIs" dxfId="324" priority="20" operator="greaterThan">
      <formula>1</formula>
    </cfRule>
    <cfRule type="cellIs" dxfId="323" priority="21" operator="lessThan">
      <formula>0.8</formula>
    </cfRule>
  </conditionalFormatting>
  <conditionalFormatting sqref="R18:R19 AG18:AG19">
    <cfRule type="cellIs" dxfId="322" priority="23" operator="lessThan">
      <formula>0.8</formula>
    </cfRule>
  </conditionalFormatting>
  <conditionalFormatting sqref="O56">
    <cfRule type="cellIs" dxfId="321" priority="14" operator="greaterThan">
      <formula>0</formula>
    </cfRule>
  </conditionalFormatting>
  <conditionalFormatting sqref="P56 AE56">
    <cfRule type="cellIs" dxfId="320" priority="17" operator="lessThan">
      <formula>0</formula>
    </cfRule>
  </conditionalFormatting>
  <conditionalFormatting sqref="Q56 AF56">
    <cfRule type="cellIs" dxfId="319" priority="15" operator="greaterThan">
      <formula>1</formula>
    </cfRule>
    <cfRule type="cellIs" dxfId="318" priority="16" operator="lessThan">
      <formula>0.8</formula>
    </cfRule>
  </conditionalFormatting>
  <conditionalFormatting sqref="R56 AG56">
    <cfRule type="cellIs" dxfId="317" priority="18" operator="lessThan">
      <formula>0.8</formula>
    </cfRule>
  </conditionalFormatting>
  <conditionalFormatting sqref="O20">
    <cfRule type="cellIs" dxfId="316" priority="9" operator="greaterThan">
      <formula>0</formula>
    </cfRule>
  </conditionalFormatting>
  <conditionalFormatting sqref="P20">
    <cfRule type="cellIs" dxfId="315" priority="12" operator="lessThan">
      <formula>0</formula>
    </cfRule>
  </conditionalFormatting>
  <conditionalFormatting sqref="Q20">
    <cfRule type="cellIs" dxfId="314" priority="10" operator="greaterThan">
      <formula>1</formula>
    </cfRule>
    <cfRule type="cellIs" dxfId="313" priority="11" operator="lessThan">
      <formula>0.8</formula>
    </cfRule>
  </conditionalFormatting>
  <conditionalFormatting sqref="AG20 R20">
    <cfRule type="cellIs" dxfId="312" priority="13" operator="lessThan">
      <formula>0.8</formula>
    </cfRule>
  </conditionalFormatting>
  <conditionalFormatting sqref="P8">
    <cfRule type="cellIs" dxfId="311" priority="8" operator="lessThan">
      <formula>0</formula>
    </cfRule>
  </conditionalFormatting>
  <conditionalFormatting sqref="P21">
    <cfRule type="cellIs" dxfId="310" priority="7" operator="lessThan">
      <formula>0</formula>
    </cfRule>
  </conditionalFormatting>
  <conditionalFormatting sqref="P28">
    <cfRule type="cellIs" dxfId="309" priority="6" operator="lessThan">
      <formula>0</formula>
    </cfRule>
  </conditionalFormatting>
  <conditionalFormatting sqref="P34">
    <cfRule type="cellIs" dxfId="308" priority="5" operator="lessThan">
      <formula>0</formula>
    </cfRule>
  </conditionalFormatting>
  <conditionalFormatting sqref="P46">
    <cfRule type="cellIs" dxfId="307" priority="4" operator="lessThan">
      <formula>0</formula>
    </cfRule>
  </conditionalFormatting>
  <conditionalFormatting sqref="P54">
    <cfRule type="cellIs" dxfId="306" priority="3" operator="lessThan">
      <formula>0</formula>
    </cfRule>
  </conditionalFormatting>
  <conditionalFormatting sqref="P60">
    <cfRule type="cellIs" dxfId="305" priority="2" operator="lessThan">
      <formula>0</formula>
    </cfRule>
  </conditionalFormatting>
  <conditionalFormatting sqref="P66">
    <cfRule type="cellIs" dxfId="304" priority="1" operator="lessThan">
      <formula>0</formula>
    </cfRule>
  </conditionalFormatting>
  <dataValidations count="1">
    <dataValidation type="list" allowBlank="1" showInputMessage="1" showErrorMessage="1" sqref="AB8 AA5:AB7 AB59 AA8:AA59 AB10:AB55 AA60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sqref="A1:XFD1048576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367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368</v>
      </c>
      <c r="C3" s="601" t="str">
        <f>TEXT('0604 4度C'!A2,"yyyy.mm.ddaaaa")</f>
        <v>2026.06.04星期四</v>
      </c>
      <c r="D3" s="602"/>
      <c r="E3" s="39" t="s">
        <v>369</v>
      </c>
      <c r="F3" s="603">
        <f>'0604 4度C'!D1</f>
        <v>171195</v>
      </c>
      <c r="G3" s="604"/>
      <c r="H3" s="39" t="s">
        <v>91</v>
      </c>
      <c r="I3" s="605">
        <f>'0604 4度C'!F1</f>
        <v>5773110.0999999996</v>
      </c>
      <c r="J3" s="606"/>
      <c r="K3" s="40"/>
      <c r="L3" s="41"/>
      <c r="M3" s="42"/>
      <c r="N3" s="42"/>
    </row>
    <row r="4" spans="2:17" ht="28.5" customHeight="1">
      <c r="B4" s="607" t="s">
        <v>370</v>
      </c>
      <c r="C4" s="593" t="s">
        <v>371</v>
      </c>
      <c r="D4" s="594"/>
      <c r="E4" s="610" t="s">
        <v>372</v>
      </c>
      <c r="F4" s="611"/>
      <c r="G4" s="610" t="s">
        <v>373</v>
      </c>
      <c r="H4" s="611"/>
      <c r="I4" s="610" t="s">
        <v>96</v>
      </c>
      <c r="J4" s="611"/>
      <c r="K4" s="591" t="s">
        <v>374</v>
      </c>
      <c r="L4" s="592"/>
      <c r="M4" s="592" t="s">
        <v>375</v>
      </c>
      <c r="N4" s="592"/>
    </row>
    <row r="5" spans="2:17" ht="28.5" customHeight="1">
      <c r="B5" s="608"/>
      <c r="C5" s="593" t="s">
        <v>376</v>
      </c>
      <c r="D5" s="594"/>
      <c r="E5" s="593" t="s">
        <v>377</v>
      </c>
      <c r="F5" s="594"/>
      <c r="G5" s="595" t="s">
        <v>378</v>
      </c>
      <c r="H5" s="596"/>
      <c r="I5" s="597" t="s">
        <v>379</v>
      </c>
      <c r="J5" s="598"/>
      <c r="K5" s="43" t="s">
        <v>380</v>
      </c>
      <c r="L5" s="44" t="s">
        <v>381</v>
      </c>
      <c r="M5" s="43" t="s">
        <v>382</v>
      </c>
      <c r="N5" s="44" t="s">
        <v>383</v>
      </c>
    </row>
    <row r="6" spans="2:17" ht="28.5" customHeight="1">
      <c r="B6" s="608"/>
      <c r="C6" s="593" t="s">
        <v>58</v>
      </c>
      <c r="D6" s="594"/>
      <c r="E6" s="585">
        <f>AVERAGE(D13:M13)</f>
        <v>153.34355363980973</v>
      </c>
      <c r="F6" s="586">
        <f>AVERAGE(D31:O31,D13:J13)</f>
        <v>159.21649336405653</v>
      </c>
      <c r="G6" s="587">
        <f>AVERAGE(D13:J13)</f>
        <v>159.21649336405653</v>
      </c>
      <c r="H6" s="588"/>
      <c r="I6" s="587">
        <f>AVERAGE(K13:M13)</f>
        <v>139.64002761656721</v>
      </c>
      <c r="J6" s="588"/>
      <c r="K6" s="589">
        <f>'0604 4度C'!Y2</f>
        <v>0</v>
      </c>
      <c r="L6" s="574">
        <f>'0604 4度C'!Z2</f>
        <v>0</v>
      </c>
      <c r="M6" s="590">
        <f>'0604 4度C'!AC2</f>
        <v>55</v>
      </c>
      <c r="N6" s="574">
        <f>'0604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147.15147264390868</v>
      </c>
      <c r="F7" s="578">
        <f>AVERAGE(D32:O32,D14:J14)</f>
        <v>152.95213183276059</v>
      </c>
      <c r="G7" s="579">
        <f>AVERAGE(D14:J14)</f>
        <v>152.95213183276059</v>
      </c>
      <c r="H7" s="580"/>
      <c r="I7" s="579">
        <f>AVERAGE(K14:M14)</f>
        <v>133.61660120325431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0.95883485619756148</v>
      </c>
      <c r="F8" s="582">
        <f>AVERAGE(D15:J15,D33:O33)</f>
        <v>0.95966855322434841</v>
      </c>
      <c r="G8" s="583">
        <f>AVERAGE(D15:J15)</f>
        <v>0.95966855322434841</v>
      </c>
      <c r="H8" s="584"/>
      <c r="I8" s="583">
        <f>AVERAGE(K15:M15)</f>
        <v>0.95688956313505857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104</v>
      </c>
      <c r="N9" s="42"/>
      <c r="O9" s="42"/>
      <c r="P9" s="42"/>
      <c r="Q9" s="42"/>
    </row>
    <row r="10" spans="2:17" ht="30" customHeight="1">
      <c r="B10" s="557" t="s">
        <v>384</v>
      </c>
      <c r="C10" s="558"/>
      <c r="D10" s="559" t="s">
        <v>385</v>
      </c>
      <c r="E10" s="560"/>
      <c r="F10" s="560"/>
      <c r="G10" s="560"/>
      <c r="H10" s="560"/>
      <c r="I10" s="560"/>
      <c r="J10" s="561"/>
      <c r="K10" s="562" t="s">
        <v>386</v>
      </c>
      <c r="L10" s="563"/>
      <c r="M10" s="564"/>
      <c r="P10" s="48"/>
      <c r="Q10" s="48"/>
    </row>
    <row r="11" spans="2:17" ht="17.25" customHeight="1">
      <c r="B11" s="565" t="s">
        <v>387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388</v>
      </c>
      <c r="C13" s="55" t="s">
        <v>389</v>
      </c>
      <c r="D13" s="56">
        <f>SUMIFS('0604 4度C'!$K:$K,'0604 4度C'!$A:$A,"新豐6線",'0604 4度C'!$B:$B,"平均")</f>
        <v>130.43478260869566</v>
      </c>
      <c r="E13" s="57">
        <f>SUMIFS('0604 4度C'!$K:$K,'0604 4度C'!$A:$A,"新豐2線",'0604 4度C'!$B:$B,"平均")</f>
        <v>86.956521739130437</v>
      </c>
      <c r="F13" s="58">
        <f>SUMIFS('0604 4度C'!$K:$K,'0604 4度C'!$A:$A,"新豐5線",'0604 4度C'!$B:$B,"平均")</f>
        <v>87.786259541984734</v>
      </c>
      <c r="G13" s="58">
        <f>SUMIFS('0604 4度C'!$K:$K,'0604 4度C'!$A:$A,"新豐7線",'0604 4度C'!$B:$B,"平均")</f>
        <v>125</v>
      </c>
      <c r="H13" s="58">
        <f>SUMIFS('0604 4度C'!$K:$K,'0604 4度C'!$A:$A,"新豐3線",'0604 4度C'!$B:$B,"平均")</f>
        <v>255.81395348837211</v>
      </c>
      <c r="I13" s="58">
        <f>SUMIFS('0604 4度C'!$K:$K,'0604 4度C'!$A:$A,"新豐1線",'0604 4度C'!$B:$B,"平均")</f>
        <v>109.375</v>
      </c>
      <c r="J13" s="59">
        <f>SUMIFS('0604 4度C'!$K:$K,'0604 4度C'!$A:$A,"新豐10線",'0604 4度C'!$B:$B,"平均")</f>
        <v>319.14893617021278</v>
      </c>
      <c r="K13" s="60">
        <f>SUMIFS('0604 4度C'!$K:$K,'0604 4度C'!$A:$A,"新豐8線",'0604 4度C'!$B:$B,"平均")</f>
        <v>138.46153846153848</v>
      </c>
      <c r="L13" s="61">
        <f>SUMIFS('0604 4度C'!$K:$K,'0604 4度C'!$A:$A,"新豐9線",'0604 4度C'!$B:$B,"平均")</f>
        <v>125.61983471074382</v>
      </c>
      <c r="M13" s="59">
        <f>SUMIFS('0604 4度C'!$K:$K,'0604 4度C'!$A:$A,"新豐4線",'0604 4度C'!$B:$B,"平均")</f>
        <v>154.83870967741936</v>
      </c>
    </row>
    <row r="14" spans="2:17" ht="39.6" customHeight="1">
      <c r="B14" s="570"/>
      <c r="C14" s="62" t="s">
        <v>111</v>
      </c>
      <c r="D14" s="63">
        <f>SUMIFS('0604 4度C'!$N:$N,'0604 4度C'!$A:$A,"新豐6線",'0604 4度C'!$B:$B,"平均")</f>
        <v>125.24830191420581</v>
      </c>
      <c r="E14" s="64">
        <f>SUMIFS('0604 4度C'!$N:$N,'0604 4度C'!$A:$A,"新豐2線",'0604 4度C'!$B:$B,"平均")</f>
        <v>83.080576549035399</v>
      </c>
      <c r="F14" s="64">
        <f>SUMIFS('0604 4度C'!$N:$N,'0604 4度C'!$A:$A,"新豐5線",'0604 4度C'!$B:$B,"平均")</f>
        <v>84.338111407994276</v>
      </c>
      <c r="G14" s="64">
        <f>SUMIFS('0604 4度C'!$N:$N,'0604 4度C'!$A:$A,"新豐7線",'0604 4度C'!$B:$B,"平均")</f>
        <v>119.89071481691896</v>
      </c>
      <c r="H14" s="64">
        <f>SUMIFS('0604 4度C'!$N:$N,'0604 4度C'!$A:$A,"新豐3線",'0604 4度C'!$B:$B,"平均")</f>
        <v>245.17575403000382</v>
      </c>
      <c r="I14" s="64">
        <f>SUMIFS('0604 4度C'!$N:$N,'0604 4度C'!$A:$A,"新豐1線",'0604 4度C'!$B:$B,"平均")</f>
        <v>104.81749221485708</v>
      </c>
      <c r="J14" s="65">
        <f>SUMIFS('0604 4度C'!$N:$N,'0604 4度C'!$A:$A,"新豐10線",'0604 4度C'!$B:$B,"平均")</f>
        <v>308.1139718963085</v>
      </c>
      <c r="K14" s="66">
        <f>SUMIFS('0604 4度C'!$N:$N,'0604 4度C'!$A:$A,"新豐8線",'0604 4度C'!$B:$B,"平均")</f>
        <v>132.25518208680182</v>
      </c>
      <c r="L14" s="67">
        <f>SUMIFS('0604 4度C'!$N:$N,'0604 4度C'!$A:$A,"新豐9線",'0604 4度C'!$B:$B,"平均")</f>
        <v>120.36987198701563</v>
      </c>
      <c r="M14" s="65">
        <f>SUMIFS('0604 4度C'!$N:$N,'0604 4度C'!$A:$A,"新豐4線",'0604 4度C'!$B:$B,"平均")</f>
        <v>148.22474953594551</v>
      </c>
    </row>
    <row r="15" spans="2:17" ht="40.15" customHeight="1">
      <c r="B15" s="571"/>
      <c r="C15" s="68" t="s">
        <v>112</v>
      </c>
      <c r="D15" s="69">
        <f t="shared" ref="D15:M15" si="0">D14/D13</f>
        <v>0.96023698134224456</v>
      </c>
      <c r="E15" s="70">
        <f t="shared" si="0"/>
        <v>0.95542663031390707</v>
      </c>
      <c r="F15" s="70">
        <f t="shared" si="0"/>
        <v>0.96072109516932613</v>
      </c>
      <c r="G15" s="70">
        <f t="shared" si="0"/>
        <v>0.95912571853535167</v>
      </c>
      <c r="H15" s="70">
        <f t="shared" si="0"/>
        <v>0.95841431120819665</v>
      </c>
      <c r="I15" s="70">
        <f t="shared" si="0"/>
        <v>0.95833135739297903</v>
      </c>
      <c r="J15" s="71">
        <f t="shared" si="0"/>
        <v>0.96542377860843331</v>
      </c>
      <c r="K15" s="69">
        <f t="shared" si="0"/>
        <v>0.95517631507134637</v>
      </c>
      <c r="L15" s="70">
        <f t="shared" si="0"/>
        <v>0.95820753358084798</v>
      </c>
      <c r="M15" s="71">
        <f t="shared" si="0"/>
        <v>0.95728484075298137</v>
      </c>
    </row>
    <row r="16" spans="2:17" ht="17.25" customHeight="1">
      <c r="B16" s="572" t="s">
        <v>208</v>
      </c>
      <c r="C16" s="72" t="s">
        <v>114</v>
      </c>
      <c r="D16" s="73">
        <f>VLOOKUP("新豐6線",'0604 4度C'!$A:$T,19,0)</f>
        <v>0.70833333333333337</v>
      </c>
      <c r="E16" s="74">
        <f>VLOOKUP("新豐2線",'0604 4度C'!$A:$T,19,0)</f>
        <v>8.3333333333333329E-2</v>
      </c>
      <c r="F16" s="74">
        <f>VLOOKUP("新豐5線",'0604 4度C'!$A:$T,19,0)</f>
        <v>8.3333333333333329E-2</v>
      </c>
      <c r="G16" s="74">
        <f>VLOOKUP("新豐7線",'0604 4度C'!$A:$T,19,0)</f>
        <v>0.20833333333333334</v>
      </c>
      <c r="H16" s="74">
        <f>VLOOKUP("新豐3線",'0604 4度C'!$A:$T,19,0)</f>
        <v>8.3333333333333329E-2</v>
      </c>
      <c r="I16" s="74">
        <f>VLOOKUP("新豐1線",'0604 4度C'!$A:$T,19,0)</f>
        <v>0.20833333333333334</v>
      </c>
      <c r="J16" s="75">
        <f>VLOOKUP("新豐10線",'0604 4度C'!$A:$T,19,0)</f>
        <v>0.20833333333333334</v>
      </c>
      <c r="K16" s="76">
        <f>VLOOKUP("新豐8線",'0604 4度C'!$A:$T,19,0)</f>
        <v>8.3333333333333329E-2</v>
      </c>
      <c r="L16" s="77">
        <f>VLOOKUP("新豐9線",'0604 4度C'!$A:$T,19,0)</f>
        <v>8.3333333333333329E-2</v>
      </c>
      <c r="M16" s="78">
        <f>VLOOKUP("新豐4線",'0604 4度C'!$A:$T,19,0)</f>
        <v>8.3333333333333329E-2</v>
      </c>
    </row>
    <row r="17" spans="2:13" ht="17.25" customHeight="1">
      <c r="B17" s="573"/>
      <c r="C17" s="72" t="s">
        <v>390</v>
      </c>
      <c r="D17" s="76">
        <f>LOOKUP(2,1/(('0604 4度C'!$A:$A="新豐6線")*('0604 4度C'!$T:$T&lt;&gt;"")),'0604 4度C'!$T:$T)</f>
        <v>0.82013888888888886</v>
      </c>
      <c r="E17" s="74">
        <f>LOOKUP(2,1/(('0604 4度C'!$A:$A="新豐2線")*('0604 4度C'!$T:$T&lt;&gt;"")),'0604 4度C'!$T:$T)</f>
        <v>0.65347222222222223</v>
      </c>
      <c r="F17" s="74">
        <f>LOOKUP(2,1/(('0604 4度C'!$A:$A="新豐5線")*('0604 4度C'!$T:$T&lt;&gt;"")),'0604 4度C'!$T:$T)</f>
        <v>0.79027777777777786</v>
      </c>
      <c r="G17" s="74">
        <f>LOOKUP(2,1/(('0604 4度C'!$A:$A="新豐7線")*('0604 4度C'!$T:$T&lt;&gt;"")),'0604 4度C'!$T:$T)</f>
        <v>0.77777777777777779</v>
      </c>
      <c r="H17" s="74">
        <f>LOOKUP(2,1/(('0604 4度C'!$A:$A="新豐3線")*('0604 4度C'!$T:$T&lt;&gt;"")),'0604 4度C'!$T:$T)</f>
        <v>0.3666666666666667</v>
      </c>
      <c r="I17" s="74">
        <f>LOOKUP(2,1/(('0604 4度C'!$A:$A="新豐1線")*('0604 4度C'!$T:$T&lt;&gt;"")),'0604 4度C'!$T:$T)</f>
        <v>0.80833333333333335</v>
      </c>
      <c r="J17" s="75">
        <f>LOOKUP(2,1/(('0604 4度C'!$A:$A="新豐10線")*('0604 4度C'!$T:$T&lt;&gt;"")),'0604 4度C'!$T:$T)</f>
        <v>0.39166666666666661</v>
      </c>
      <c r="K17" s="73">
        <f>LOOKUP(2,1/(('0604 4度C'!$A:$A="新豐8線")*('0604 4度C'!$T:$T&lt;&gt;"")),'0604 4度C'!$T:$T)</f>
        <v>0.66597222222222219</v>
      </c>
      <c r="L17" s="74">
        <f>LOOKUP(2,1/(('0604 4度C'!$A:$A="新豐9線")*('0604 4度C'!$T:$T&lt;&gt;"")),'0604 4度C'!$T:$T)</f>
        <v>0.67986111111111103</v>
      </c>
      <c r="M17" s="75">
        <f>LOOKUP(2,1/(('0604 4度C'!$A:$A="新豐4線")*('0604 4度C'!$T:$T&lt;&gt;"")),'0604 4度C'!$T:$T)</f>
        <v>0.64513888888888882</v>
      </c>
    </row>
    <row r="18" spans="2:13" ht="17.25" customHeight="1">
      <c r="B18" s="551" t="s">
        <v>391</v>
      </c>
      <c r="C18" s="79" t="s">
        <v>392</v>
      </c>
      <c r="D18" s="80">
        <f>SUMIFS('0604 4度C'!$Y:$Y,'0604 4度C'!$A:$A,"新豐6線",'0604 4度C'!$B:$B,"平均")</f>
        <v>0</v>
      </c>
      <c r="E18" s="81">
        <f>SUMIFS('0604 4度C'!$Y:$Y,'0604 4度C'!$A:$A,"新豐2線",'0604 4度C'!$B:$B,"平均")</f>
        <v>0</v>
      </c>
      <c r="F18" s="81">
        <f>SUMIFS('0604 4度C'!$Y:$Y,'0604 4度C'!$A:$A,"新豐5線",'0604 4度C'!$B:$B,"平均")</f>
        <v>0</v>
      </c>
      <c r="G18" s="81">
        <f>SUMIFS('0604 4度C'!$Y:$Y,'0604 4度C'!$A:$A,"新豐7線",'0604 4度C'!$B:$B,"平均")</f>
        <v>0</v>
      </c>
      <c r="H18" s="81">
        <f>SUMIFS('0604 4度C'!$Y:$Y,'0604 4度C'!$A:$A,"新豐3線",'0604 4度C'!$B:$B,"平均")</f>
        <v>0</v>
      </c>
      <c r="I18" s="81">
        <f>SUMIFS('0604 4度C'!$Y:$Y,'0604 4度C'!$A:$A,"新豐1線",'0604 4度C'!$B:$B,"平均")</f>
        <v>0</v>
      </c>
      <c r="J18" s="82">
        <f>SUMIFS('0604 4度C'!$Y:$Y,'0604 4度C'!$A:$A,"新豐10線",'0604 4度C'!$B:$B,"平均")</f>
        <v>0</v>
      </c>
      <c r="K18" s="83">
        <f>SUMIFS('0604 4度C'!$Y:$Y,'0604 4度C'!$A:$A,"新豐8線",'0604 4度C'!$B:$B,"平均")</f>
        <v>0</v>
      </c>
      <c r="L18" s="81">
        <f>SUMIFS('0604 4度C'!$Y:$Y,'0604 4度C'!$A:$A,"新豐9線",'0604 4度C'!$B:$B,"平均")</f>
        <v>0</v>
      </c>
      <c r="M18" s="82">
        <f>SUMIFS('0604 4度C'!$Y:$Y,'0604 4度C'!$A:$A,"新豐4線",'0604 4度C'!$B:$B,"平均")</f>
        <v>0</v>
      </c>
    </row>
    <row r="19" spans="2:13" ht="17.25" customHeight="1">
      <c r="B19" s="552"/>
      <c r="C19" s="79" t="s">
        <v>393</v>
      </c>
      <c r="D19" s="80">
        <f>SUMIFS('0604 4度C'!$Z:$Z,'0604 4度C'!$A:$A,"新豐6線",'0604 4度C'!$B:$B,"平均")</f>
        <v>0</v>
      </c>
      <c r="E19" s="81">
        <f>SUMIFS('0604 4度C'!$Z:$Z,'0604 4度C'!$A:$A,"新豐2線",'0604 4度C'!$B:$B,"平均")</f>
        <v>0</v>
      </c>
      <c r="F19" s="81">
        <f>SUMIFS('0604 4度C'!$Z:$Z,'0604 4度C'!$A:$A,"新豐5線",'0604 4度C'!$B:$B,"平均")</f>
        <v>0</v>
      </c>
      <c r="G19" s="81">
        <f>SUMIFS('0604 4度C'!$Z:$Z,'0604 4度C'!$A:$A,"新豐7線",'0604 4度C'!$B:$B,"平均")</f>
        <v>0</v>
      </c>
      <c r="H19" s="81">
        <f>SUMIFS('0604 4度C'!$Z:$Z,'0604 4度C'!$A:$A,"新豐3線",'0604 4度C'!$B:$B,"平均")</f>
        <v>0</v>
      </c>
      <c r="I19" s="81">
        <f>SUMIFS('0604 4度C'!$Z:$Z,'0604 4度C'!$A:$A,"新豐1線",'0604 4度C'!$B:$B,"平均")</f>
        <v>0</v>
      </c>
      <c r="J19" s="82">
        <f>SUMIFS('0604 4度C'!$Z:$Z,'0604 4度C'!$A:$A,"新豐10線",'0604 4度C'!$B:$B,"平均")</f>
        <v>0</v>
      </c>
      <c r="K19" s="83">
        <f>SUMIFS('0604 4度C'!$Z:$Z,'0604 4度C'!$A:$A,"新豐8線",'0604 4度C'!$B:$B,"平均")</f>
        <v>0</v>
      </c>
      <c r="L19" s="81">
        <f>SUMIFS('0604 4度C'!$Z:$Z,'0604 4度C'!$A:$A,"新豐9線",'0604 4度C'!$B:$B,"平均")</f>
        <v>0</v>
      </c>
      <c r="M19" s="82">
        <f>SUMIFS('0604 4度C'!$Z:$Z,'0604 4度C'!$A:$A,"新豐4線",'0604 4度C'!$B:$B,"平均")</f>
        <v>0</v>
      </c>
    </row>
    <row r="20" spans="2:13" ht="17.25" customHeight="1">
      <c r="B20" s="551" t="s">
        <v>394</v>
      </c>
      <c r="C20" s="79" t="s">
        <v>212</v>
      </c>
      <c r="D20" s="80">
        <f>SUMIFS('0604 4度C'!$AC:$AC,'0604 4度C'!$A:$A,"新豐6線",'0604 4度C'!$B:$B,"平均")</f>
        <v>3</v>
      </c>
      <c r="E20" s="81">
        <f>SUMIFS('0604 4度C'!$AC:$AC,'0604 4度C'!$A:$A,"新豐2線",'0604 4度C'!$B:$B,"平均")</f>
        <v>4</v>
      </c>
      <c r="F20" s="81">
        <f>SUMIFS('0604 4度C'!$AC:$AC,'0604 4度C'!$A:$A,"新豐5線",'0604 4度C'!$B:$B,"平均")</f>
        <v>7</v>
      </c>
      <c r="G20" s="81">
        <f>SUMIFS('0604 4度C'!$AC:$AC,'0604 4度C'!$A:$A,"新豐7線",'0604 4度C'!$B:$B,"平均")</f>
        <v>6</v>
      </c>
      <c r="H20" s="81">
        <f>SUMIFS('0604 4度C'!$AC:$AC,'0604 4度C'!$A:$A,"新豐3線",'0604 4度C'!$B:$B,"平均")</f>
        <v>4</v>
      </c>
      <c r="I20" s="81">
        <f>SUMIFS('0604 4度C'!$AC:$AC,'0604 4度C'!$A:$A,"新豐1線",'0604 4度C'!$B:$B,"平均")</f>
        <v>7</v>
      </c>
      <c r="J20" s="82">
        <f>SUMIFS('0604 4度C'!$AC:$AC,'0604 4度C'!$A:$A,"新豐10線",'0604 4度C'!$B:$B,"平均")</f>
        <v>5</v>
      </c>
      <c r="K20" s="83">
        <f>SUMIFS('0604 4度C'!$AC:$AC,'0604 4度C'!$A:$A,"新豐8線",'0604 4度C'!$B:$B,"平均")</f>
        <v>6</v>
      </c>
      <c r="L20" s="81">
        <f>SUMIFS('0604 4度C'!$AC:$AC,'0604 4度C'!$A:$A,"新豐9線",'0604 4度C'!$B:$B,"平均")</f>
        <v>7</v>
      </c>
      <c r="M20" s="82">
        <f>SUMIFS('0604 4度C'!$AC:$AC,'0604 4度C'!$A:$A,"新豐4線",'0604 4度C'!$B:$B,"平均")</f>
        <v>6</v>
      </c>
    </row>
    <row r="21" spans="2:13" ht="17.25" customHeight="1">
      <c r="B21" s="552"/>
      <c r="C21" s="79" t="s">
        <v>395</v>
      </c>
      <c r="D21" s="80">
        <f>SUMIFS('0604 4度C'!$AD:$AD,'0604 4度C'!$A:$A,"新豐6線",'0604 4度C'!$B:$B,"平均")</f>
        <v>0</v>
      </c>
      <c r="E21" s="81">
        <f>SUMIFS('0604 4度C'!$AD:$AD,'0604 4度C'!$A:$A,"新豐2線",'0604 4度C'!$B:$B,"平均")</f>
        <v>0</v>
      </c>
      <c r="F21" s="81">
        <f>SUMIFS('0604 4度C'!$AD:$AD,'0604 4度C'!$A:$A,"新豐5線",'0604 4度C'!$B:$B,"平均")</f>
        <v>0</v>
      </c>
      <c r="G21" s="81">
        <f>SUMIFS('0604 4度C'!$AD:$AD,'0604 4度C'!$A:$A,"新豐7線",'0604 4度C'!$B:$B,"平均")</f>
        <v>0</v>
      </c>
      <c r="H21" s="81">
        <f>SUMIFS('0604 4度C'!$AD:$AD,'0604 4度C'!$A:$A,"新豐3線",'0604 4度C'!$B:$B,"平均")</f>
        <v>0</v>
      </c>
      <c r="I21" s="81">
        <f>SUMIFS('0604 4度C'!$AD:$AD,'0604 4度C'!$A:$A,"新豐1線",'0604 4度C'!$B:$B,"平均")</f>
        <v>0</v>
      </c>
      <c r="J21" s="82">
        <f>SUMIFS('0604 4度C'!$AD:$AD,'0604 4度C'!$A:$A,"新豐10線",'0604 4度C'!$B:$B,"平均")</f>
        <v>0</v>
      </c>
      <c r="K21" s="83">
        <f>SUMIFS('0604 4度C'!$AD:$AD,'0604 4度C'!$A:$A,"新豐8線",'0604 4度C'!$B:$B,"平均")</f>
        <v>0</v>
      </c>
      <c r="L21" s="81">
        <f>SUMIFS('0604 4度C'!$AD:$AD,'0604 4度C'!$A:$A,"新豐9線",'0604 4度C'!$B:$B,"平均")</f>
        <v>0</v>
      </c>
      <c r="M21" s="82">
        <f>SUMIFS('0604 4度C'!$AD:$AD,'0604 4度C'!$A:$A,"新豐4線",'0604 4度C'!$B:$B,"平均")</f>
        <v>0</v>
      </c>
    </row>
    <row r="22" spans="2:13" ht="17.25" customHeight="1">
      <c r="B22" s="553" t="s">
        <v>121</v>
      </c>
      <c r="C22" s="554"/>
      <c r="D22" s="84">
        <f>SUMIFS('0604 4度C'!$I:$I,'0604 4度C'!$A:$A,"新豐6線",'0604 4度C'!$B:$B,"平均")</f>
        <v>15.333333333333334</v>
      </c>
      <c r="E22" s="85">
        <f>SUMIFS('0604 4度C'!$I:$I,'0604 4度C'!$A:$A,"新豐2線",'0604 4度C'!$B:$B,"平均")</f>
        <v>17.25</v>
      </c>
      <c r="F22" s="85">
        <f>SUMIFS('0604 4度C'!$I:$I,'0604 4度C'!$A:$A,"新豐5線",'0604 4度C'!$B:$B,"平均")</f>
        <v>18.714285714285715</v>
      </c>
      <c r="G22" s="85">
        <f>SUMIFS('0604 4度C'!$I:$I,'0604 4度C'!$A:$A,"新豐7線",'0604 4度C'!$B:$B,"平均")</f>
        <v>15.333333333333334</v>
      </c>
      <c r="H22" s="85">
        <f>SUMIFS('0604 4度C'!$I:$I,'0604 4度C'!$A:$A,"新豐3線",'0604 4度C'!$B:$B,"平均")</f>
        <v>10.75</v>
      </c>
      <c r="I22" s="85">
        <f>SUMIFS('0604 4度C'!$I:$I,'0604 4度C'!$A:$A,"新豐1線",'0604 4度C'!$B:$B,"平均")</f>
        <v>18.285714285714285</v>
      </c>
      <c r="J22" s="86">
        <f>SUMIFS('0604 4度C'!$I:$I,'0604 4度C'!$A:$A,"新豐10線",'0604 4度C'!$B:$B,"平均")</f>
        <v>9.4</v>
      </c>
      <c r="K22" s="84">
        <f>SUMIFS('0604 4度C'!$I:$I,'0604 4度C'!$A:$A,"新豐8線",'0604 4度C'!$B:$B,"平均")</f>
        <v>17.333333333333332</v>
      </c>
      <c r="L22" s="85">
        <f>SUMIFS('0604 4度C'!$I:$I,'0604 4度C'!$A:$A,"新豐9線",'0604 4度C'!$B:$B,"平均")</f>
        <v>17.285714285714285</v>
      </c>
      <c r="M22" s="86">
        <f>SUMIFS('0604 4度C'!$I:$I,'0604 4度C'!$A:$A,"新豐4線",'0604 4度C'!$B:$B,"平均")</f>
        <v>15.5</v>
      </c>
    </row>
    <row r="23" spans="2:13" ht="17.25" customHeight="1">
      <c r="B23" s="553" t="s">
        <v>396</v>
      </c>
      <c r="C23" s="554"/>
      <c r="D23" s="87" t="s">
        <v>71</v>
      </c>
      <c r="E23" s="88" t="s">
        <v>72</v>
      </c>
      <c r="F23" s="88" t="s">
        <v>123</v>
      </c>
      <c r="G23" s="88" t="s">
        <v>397</v>
      </c>
      <c r="H23" s="88" t="s">
        <v>73</v>
      </c>
      <c r="I23" s="88" t="s">
        <v>71</v>
      </c>
      <c r="J23" s="89" t="s">
        <v>73</v>
      </c>
      <c r="K23" s="87" t="s">
        <v>398</v>
      </c>
      <c r="L23" s="88" t="s">
        <v>124</v>
      </c>
      <c r="M23" s="89" t="s">
        <v>124</v>
      </c>
    </row>
    <row r="24" spans="2:13" ht="17.25" customHeight="1">
      <c r="B24" s="553" t="s">
        <v>399</v>
      </c>
      <c r="C24" s="554"/>
      <c r="D24" s="87"/>
      <c r="E24" s="88"/>
      <c r="F24" s="88" t="s">
        <v>400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401</v>
      </c>
      <c r="C25" s="556"/>
      <c r="D25" s="90"/>
      <c r="E25" s="91" t="s">
        <v>402</v>
      </c>
      <c r="F25" s="549" t="s">
        <v>403</v>
      </c>
      <c r="G25" s="550"/>
      <c r="H25" s="91" t="s">
        <v>404</v>
      </c>
      <c r="I25" s="91" t="s">
        <v>405</v>
      </c>
      <c r="J25" s="92" t="s">
        <v>404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30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sqref="A1:XFD1048576"/>
      <selection pane="bottomLeft" activeCell="J14" sqref="J14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132</v>
      </c>
      <c r="B1" s="1"/>
      <c r="C1" s="2" t="s">
        <v>406</v>
      </c>
      <c r="D1" s="3">
        <f>SUM(F5:F69)</f>
        <v>171195</v>
      </c>
      <c r="E1" s="150" t="s">
        <v>407</v>
      </c>
      <c r="F1" s="1">
        <f>SUM(G5:G69)</f>
        <v>5773110.0999999996</v>
      </c>
      <c r="G1" s="1" t="s">
        <v>408</v>
      </c>
      <c r="H1" s="4">
        <f>L8+L13+L48+L56+L21+L62+L35+L43+L28+L69</f>
        <v>155.18571428571431</v>
      </c>
      <c r="I1" s="663" t="s">
        <v>409</v>
      </c>
      <c r="J1" s="663"/>
      <c r="K1" s="663"/>
      <c r="L1" s="663" t="s">
        <v>137</v>
      </c>
      <c r="M1" s="663"/>
      <c r="N1" s="663"/>
      <c r="O1" s="663" t="s">
        <v>410</v>
      </c>
      <c r="P1" s="663"/>
      <c r="Q1" s="663"/>
      <c r="R1" s="663"/>
      <c r="S1" s="663" t="s">
        <v>411</v>
      </c>
      <c r="T1" s="663"/>
      <c r="U1" s="663"/>
      <c r="V1" s="663"/>
      <c r="W1" s="663"/>
      <c r="X1" s="663"/>
      <c r="Y1" s="5" t="s">
        <v>412</v>
      </c>
      <c r="Z1" s="6" t="s">
        <v>413</v>
      </c>
      <c r="AA1" s="664" t="s">
        <v>414</v>
      </c>
      <c r="AB1" s="664"/>
      <c r="AC1" s="94" t="s">
        <v>415</v>
      </c>
      <c r="AD1" s="6" t="s">
        <v>416</v>
      </c>
      <c r="AE1" s="663" t="s">
        <v>417</v>
      </c>
      <c r="AF1" s="665"/>
      <c r="AG1" s="665"/>
    </row>
    <row r="2" spans="1:33" ht="26.25" customHeight="1">
      <c r="A2" s="27">
        <v>46177</v>
      </c>
      <c r="B2" s="28" t="s">
        <v>418</v>
      </c>
      <c r="C2" s="2" t="s">
        <v>419</v>
      </c>
      <c r="D2" s="8">
        <f>AVERAGE(N8,N13,N48,N56,N21,N62,N28,N35,N43,N69)</f>
        <v>147.15147264390868</v>
      </c>
      <c r="E2" s="9" t="s">
        <v>0</v>
      </c>
      <c r="F2" s="10">
        <f>F1/D1</f>
        <v>33.722422383831301</v>
      </c>
      <c r="G2" s="1" t="s">
        <v>420</v>
      </c>
      <c r="H2" s="157">
        <f>COUNT(H5:H69)</f>
        <v>6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SUM(Y8+Y13+Y21+Y28+Y35+Y43+Y48+Y56+Y62+Y69)</f>
        <v>0</v>
      </c>
      <c r="Z2" s="11">
        <f>SUM(Z8+Z13+Z21+Z28+Z35+Z43+Z48+Z56+Z62+Z69)</f>
        <v>0</v>
      </c>
      <c r="AA2" s="664"/>
      <c r="AB2" s="664"/>
      <c r="AC2" s="95">
        <v>55</v>
      </c>
      <c r="AD2" s="11">
        <f>SUM(AD8+AD13+AD21+AD28+AD35+AD43+AD48+AD56+AD62+AD69)</f>
        <v>0</v>
      </c>
      <c r="AE2" s="665"/>
      <c r="AF2" s="665"/>
      <c r="AG2" s="665"/>
    </row>
    <row r="3" spans="1:33" ht="40.5" customHeight="1">
      <c r="A3" s="617" t="s">
        <v>421</v>
      </c>
      <c r="B3" s="617" t="s">
        <v>422</v>
      </c>
      <c r="C3" s="617" t="s">
        <v>423</v>
      </c>
      <c r="D3" s="617"/>
      <c r="E3" s="661" t="s">
        <v>424</v>
      </c>
      <c r="F3" s="617" t="s">
        <v>425</v>
      </c>
      <c r="G3" s="661" t="s">
        <v>426</v>
      </c>
      <c r="H3" s="654" t="s">
        <v>427</v>
      </c>
      <c r="I3" s="652" t="s">
        <v>428</v>
      </c>
      <c r="J3" s="649" t="s">
        <v>429</v>
      </c>
      <c r="K3" s="659" t="s">
        <v>430</v>
      </c>
      <c r="L3" s="652" t="s">
        <v>428</v>
      </c>
      <c r="M3" s="649" t="s">
        <v>429</v>
      </c>
      <c r="N3" s="659" t="s">
        <v>109</v>
      </c>
      <c r="O3" s="652" t="s">
        <v>431</v>
      </c>
      <c r="P3" s="659" t="s">
        <v>419</v>
      </c>
      <c r="Q3" s="650" t="s">
        <v>432</v>
      </c>
      <c r="R3" s="630" t="s">
        <v>157</v>
      </c>
      <c r="S3" s="660" t="s">
        <v>1</v>
      </c>
      <c r="T3" s="660"/>
      <c r="U3" s="654" t="s">
        <v>2</v>
      </c>
      <c r="V3" s="654" t="s">
        <v>433</v>
      </c>
      <c r="W3" s="617" t="s">
        <v>434</v>
      </c>
      <c r="X3" s="617"/>
      <c r="Y3" s="655" t="s">
        <v>435</v>
      </c>
      <c r="Z3" s="614"/>
      <c r="AA3" s="656" t="s">
        <v>436</v>
      </c>
      <c r="AB3" s="657"/>
      <c r="AC3" s="655" t="s">
        <v>437</v>
      </c>
      <c r="AD3" s="614"/>
      <c r="AE3" s="649" t="s">
        <v>438</v>
      </c>
      <c r="AF3" s="650" t="s">
        <v>439</v>
      </c>
      <c r="AG3" s="630" t="s">
        <v>440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156" t="s">
        <v>3</v>
      </c>
      <c r="T4" s="156" t="s">
        <v>4</v>
      </c>
      <c r="U4" s="654"/>
      <c r="V4" s="654"/>
      <c r="W4" s="150" t="s">
        <v>441</v>
      </c>
      <c r="X4" s="150" t="s">
        <v>442</v>
      </c>
      <c r="Y4" s="148" t="s">
        <v>392</v>
      </c>
      <c r="Z4" s="148" t="s">
        <v>443</v>
      </c>
      <c r="AA4" s="658"/>
      <c r="AB4" s="657"/>
      <c r="AC4" s="148" t="s">
        <v>444</v>
      </c>
      <c r="AD4" s="148" t="s">
        <v>445</v>
      </c>
      <c r="AE4" s="649"/>
      <c r="AF4" s="650"/>
      <c r="AG4" s="630"/>
    </row>
    <row r="5" spans="1:33">
      <c r="A5" s="651" t="s">
        <v>446</v>
      </c>
      <c r="B5" s="29" t="s">
        <v>15</v>
      </c>
      <c r="C5" s="653" t="s">
        <v>17</v>
      </c>
      <c r="D5" s="653"/>
      <c r="E5" s="29">
        <v>50.67</v>
      </c>
      <c r="F5" s="156">
        <v>1121</v>
      </c>
      <c r="G5" s="150">
        <f t="shared" ref="G5:G7" si="0">E5*F5</f>
        <v>56801.07</v>
      </c>
      <c r="H5" s="33" t="s">
        <v>57</v>
      </c>
      <c r="I5" s="154">
        <v>15</v>
      </c>
      <c r="J5" s="31">
        <v>2000</v>
      </c>
      <c r="K5" s="12">
        <f t="shared" ref="K5:K68" si="1">J5/I5</f>
        <v>133.33333333333334</v>
      </c>
      <c r="L5" s="154">
        <v>15</v>
      </c>
      <c r="M5" s="13">
        <f t="shared" ref="M5:M7" si="2">F5/V5*60</f>
        <v>1921.7142857142837</v>
      </c>
      <c r="N5" s="12">
        <f t="shared" ref="N5:N68" si="3">M5/L5</f>
        <v>128.11428571428559</v>
      </c>
      <c r="O5" s="14">
        <f t="shared" ref="O5:O68" si="4">L5-I5</f>
        <v>0</v>
      </c>
      <c r="P5" s="15">
        <f t="shared" ref="P5:P68" si="5">N5-K5</f>
        <v>-5.2190476190477568</v>
      </c>
      <c r="Q5" s="149">
        <f t="shared" ref="Q5:Q68" si="6">N5/K5</f>
        <v>0.96085714285714185</v>
      </c>
      <c r="R5" s="615">
        <f>Q8</f>
        <v>0.96023698134224456</v>
      </c>
      <c r="S5" s="34">
        <v>0.70833333333333337</v>
      </c>
      <c r="T5" s="34">
        <v>0.73263888888888895</v>
      </c>
      <c r="U5" s="150"/>
      <c r="V5" s="155">
        <f t="shared" ref="V5:V7" si="7">(T5-S5)*24*60</f>
        <v>35.000000000000036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5" si="8">M5-J5</f>
        <v>-78.285714285716267</v>
      </c>
      <c r="AF5" s="149">
        <f t="shared" ref="AF5:AF68" si="9">M5/J5</f>
        <v>0.96085714285714185</v>
      </c>
      <c r="AG5" s="615">
        <f>AF8</f>
        <v>0.96023698134224456</v>
      </c>
    </row>
    <row r="6" spans="1:33">
      <c r="A6" s="652" t="s">
        <v>447</v>
      </c>
      <c r="B6" s="29" t="s">
        <v>15</v>
      </c>
      <c r="C6" s="653" t="s">
        <v>26</v>
      </c>
      <c r="D6" s="653"/>
      <c r="E6" s="29">
        <v>50.92</v>
      </c>
      <c r="F6" s="156">
        <v>1741</v>
      </c>
      <c r="G6" s="150">
        <f t="shared" si="0"/>
        <v>88651.72</v>
      </c>
      <c r="H6" s="33" t="s">
        <v>57</v>
      </c>
      <c r="I6" s="154">
        <v>15</v>
      </c>
      <c r="J6" s="31">
        <v>2000</v>
      </c>
      <c r="K6" s="12">
        <f t="shared" si="1"/>
        <v>133.33333333333334</v>
      </c>
      <c r="L6" s="154">
        <v>15</v>
      </c>
      <c r="M6" s="13">
        <f t="shared" si="2"/>
        <v>1934.4444444444453</v>
      </c>
      <c r="N6" s="12">
        <f t="shared" si="3"/>
        <v>128.96296296296302</v>
      </c>
      <c r="O6" s="14">
        <f t="shared" si="4"/>
        <v>0</v>
      </c>
      <c r="P6" s="15">
        <f t="shared" si="5"/>
        <v>-4.3703703703703241</v>
      </c>
      <c r="Q6" s="149">
        <f t="shared" si="6"/>
        <v>0.96722222222222254</v>
      </c>
      <c r="R6" s="615"/>
      <c r="S6" s="34">
        <v>0.73819444444444449</v>
      </c>
      <c r="T6" s="34">
        <v>0.77569444444444446</v>
      </c>
      <c r="U6" s="150">
        <f t="shared" ref="U6:U7" si="10">IF(S6=TIME(17,0,0),"",(S6-T5)*24*60)</f>
        <v>7.9999999999999716</v>
      </c>
      <c r="V6" s="155">
        <f t="shared" si="7"/>
        <v>53.999999999999972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-65.555555555554747</v>
      </c>
      <c r="AF6" s="149">
        <f t="shared" si="9"/>
        <v>0.96722222222222265</v>
      </c>
      <c r="AG6" s="615"/>
    </row>
    <row r="7" spans="1:33">
      <c r="A7" s="652" t="s">
        <v>5</v>
      </c>
      <c r="B7" s="29" t="s">
        <v>15</v>
      </c>
      <c r="C7" s="644" t="s">
        <v>31</v>
      </c>
      <c r="D7" s="645"/>
      <c r="E7" s="29">
        <v>50.98</v>
      </c>
      <c r="F7" s="156">
        <v>1810</v>
      </c>
      <c r="G7" s="150">
        <f t="shared" si="0"/>
        <v>92273.799999999988</v>
      </c>
      <c r="H7" s="33" t="s">
        <v>57</v>
      </c>
      <c r="I7" s="154">
        <v>16</v>
      </c>
      <c r="J7" s="31">
        <v>2000</v>
      </c>
      <c r="K7" s="12">
        <f t="shared" si="1"/>
        <v>125</v>
      </c>
      <c r="L7" s="154">
        <v>16</v>
      </c>
      <c r="M7" s="13">
        <f t="shared" si="2"/>
        <v>1905.2631578947382</v>
      </c>
      <c r="N7" s="12">
        <f t="shared" si="3"/>
        <v>119.07894736842114</v>
      </c>
      <c r="O7" s="14">
        <f t="shared" si="4"/>
        <v>0</v>
      </c>
      <c r="P7" s="15">
        <f t="shared" si="5"/>
        <v>-5.9210526315788599</v>
      </c>
      <c r="Q7" s="149">
        <f t="shared" si="6"/>
        <v>0.95263157894736916</v>
      </c>
      <c r="R7" s="615"/>
      <c r="S7" s="34">
        <v>0.78055555555555556</v>
      </c>
      <c r="T7" s="34">
        <v>0.82013888888888886</v>
      </c>
      <c r="U7" s="150">
        <f t="shared" si="10"/>
        <v>6.9999999999999751</v>
      </c>
      <c r="V7" s="155">
        <f t="shared" si="7"/>
        <v>56.999999999999957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-94.736842105261758</v>
      </c>
      <c r="AF7" s="149">
        <f t="shared" si="9"/>
        <v>0.95263157894736916</v>
      </c>
      <c r="AG7" s="615"/>
    </row>
    <row r="8" spans="1:33">
      <c r="A8" s="652" t="s">
        <v>5</v>
      </c>
      <c r="B8" s="29" t="s">
        <v>6</v>
      </c>
      <c r="C8" s="618"/>
      <c r="D8" s="618"/>
      <c r="E8" s="151"/>
      <c r="F8" s="30"/>
      <c r="G8" s="12"/>
      <c r="H8" s="156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1920.4739626844892</v>
      </c>
      <c r="N8" s="12">
        <f t="shared" si="3"/>
        <v>125.24830191420581</v>
      </c>
      <c r="O8" s="14">
        <f t="shared" si="4"/>
        <v>0</v>
      </c>
      <c r="P8" s="15">
        <f t="shared" si="5"/>
        <v>-5.1864806944898447</v>
      </c>
      <c r="Q8" s="149">
        <f t="shared" si="6"/>
        <v>0.96023698134224456</v>
      </c>
      <c r="R8" s="615"/>
      <c r="S8" s="34"/>
      <c r="T8" s="34"/>
      <c r="U8" s="150"/>
      <c r="V8" s="155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-79.526037315510848</v>
      </c>
      <c r="AF8" s="149">
        <f t="shared" si="9"/>
        <v>0.96023698134224456</v>
      </c>
      <c r="AG8" s="615"/>
    </row>
    <row r="9" spans="1:33" ht="15.75" customHeight="1">
      <c r="A9" s="648" t="s">
        <v>7</v>
      </c>
      <c r="B9" s="29" t="s">
        <v>19</v>
      </c>
      <c r="C9" s="644" t="s">
        <v>20</v>
      </c>
      <c r="D9" s="645"/>
      <c r="E9" s="29">
        <v>39.619999999999997</v>
      </c>
      <c r="F9" s="156">
        <v>4847</v>
      </c>
      <c r="G9" s="150">
        <f t="shared" ref="G9:G12" si="11">E9*F9</f>
        <v>192038.13999999998</v>
      </c>
      <c r="H9" s="33" t="s">
        <v>57</v>
      </c>
      <c r="I9" s="154">
        <v>19</v>
      </c>
      <c r="J9" s="31">
        <v>1500</v>
      </c>
      <c r="K9" s="12">
        <f t="shared" si="1"/>
        <v>78.94736842105263</v>
      </c>
      <c r="L9" s="154">
        <v>19</v>
      </c>
      <c r="M9" s="13">
        <f t="shared" ref="M9:M12" si="12">F9/V9*60</f>
        <v>1432.6108374384237</v>
      </c>
      <c r="N9" s="12">
        <f t="shared" si="3"/>
        <v>75.400570391495989</v>
      </c>
      <c r="O9" s="14">
        <f t="shared" si="4"/>
        <v>0</v>
      </c>
      <c r="P9" s="15">
        <f t="shared" si="5"/>
        <v>-3.5467980295566406</v>
      </c>
      <c r="Q9" s="149">
        <f t="shared" si="6"/>
        <v>0.95507389162561585</v>
      </c>
      <c r="R9" s="615">
        <f>Q13</f>
        <v>0.95542663031390707</v>
      </c>
      <c r="S9" s="34">
        <v>8.3333333333333329E-2</v>
      </c>
      <c r="T9" s="34">
        <v>0.22430555555555554</v>
      </c>
      <c r="U9" s="150"/>
      <c r="V9" s="155">
        <f t="shared" ref="V9:V12" si="13">(T9-S9)*24*60</f>
        <v>203</v>
      </c>
      <c r="W9" s="16">
        <f>T9</f>
        <v>0.22430555555555554</v>
      </c>
      <c r="X9" s="16">
        <f>S10</f>
        <v>0.24305555555555552</v>
      </c>
      <c r="Y9" s="16"/>
      <c r="Z9" s="16"/>
      <c r="AA9" s="617"/>
      <c r="AB9" s="617"/>
      <c r="AC9" s="35">
        <v>4</v>
      </c>
      <c r="AD9" s="18"/>
      <c r="AE9" s="14">
        <f t="shared" si="8"/>
        <v>-67.389162561576313</v>
      </c>
      <c r="AF9" s="149">
        <f t="shared" si="9"/>
        <v>0.95507389162561585</v>
      </c>
      <c r="AG9" s="615">
        <f>AF13</f>
        <v>0.95542663031390707</v>
      </c>
    </row>
    <row r="10" spans="1:33" ht="15.75" customHeight="1">
      <c r="A10" s="648" t="s">
        <v>448</v>
      </c>
      <c r="B10" s="29" t="s">
        <v>19</v>
      </c>
      <c r="C10" s="644" t="s">
        <v>83</v>
      </c>
      <c r="D10" s="645"/>
      <c r="E10" s="29">
        <v>39.46</v>
      </c>
      <c r="F10" s="156">
        <v>5619</v>
      </c>
      <c r="G10" s="150">
        <f t="shared" si="11"/>
        <v>221725.74</v>
      </c>
      <c r="H10" s="33" t="s">
        <v>57</v>
      </c>
      <c r="I10" s="154">
        <v>16</v>
      </c>
      <c r="J10" s="31">
        <v>1500</v>
      </c>
      <c r="K10" s="12">
        <f t="shared" si="1"/>
        <v>93.75</v>
      </c>
      <c r="L10" s="154">
        <v>16</v>
      </c>
      <c r="M10" s="13">
        <f t="shared" si="12"/>
        <v>1434.6382978723402</v>
      </c>
      <c r="N10" s="12">
        <f t="shared" si="3"/>
        <v>89.664893617021264</v>
      </c>
      <c r="O10" s="14">
        <f t="shared" si="4"/>
        <v>0</v>
      </c>
      <c r="P10" s="15">
        <f t="shared" si="5"/>
        <v>-4.0851063829787364</v>
      </c>
      <c r="Q10" s="149">
        <f t="shared" si="6"/>
        <v>0.95642553191489343</v>
      </c>
      <c r="R10" s="615"/>
      <c r="S10" s="34">
        <v>0.24305555555555552</v>
      </c>
      <c r="T10" s="34">
        <v>0.40625</v>
      </c>
      <c r="U10" s="150">
        <f t="shared" ref="U10:U12" si="14">IF(S10=TIME(17,0,0),"",(S10-T9)*24*60)</f>
        <v>26.999999999999986</v>
      </c>
      <c r="V10" s="155">
        <f t="shared" si="13"/>
        <v>235.00000000000006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-65.361702127659782</v>
      </c>
      <c r="AF10" s="149">
        <f t="shared" si="9"/>
        <v>0.95642553191489343</v>
      </c>
      <c r="AG10" s="615"/>
    </row>
    <row r="11" spans="1:33" ht="15.75" customHeight="1">
      <c r="A11" s="648" t="s">
        <v>448</v>
      </c>
      <c r="B11" s="29" t="s">
        <v>19</v>
      </c>
      <c r="C11" s="644" t="s">
        <v>21</v>
      </c>
      <c r="D11" s="645"/>
      <c r="E11" s="29">
        <v>39.799999999999997</v>
      </c>
      <c r="F11" s="156">
        <v>2900</v>
      </c>
      <c r="G11" s="150">
        <f t="shared" si="11"/>
        <v>115419.99999999999</v>
      </c>
      <c r="H11" s="33">
        <v>2</v>
      </c>
      <c r="I11" s="154">
        <v>17</v>
      </c>
      <c r="J11" s="31">
        <v>1500</v>
      </c>
      <c r="K11" s="12">
        <f t="shared" si="1"/>
        <v>88.235294117647058</v>
      </c>
      <c r="L11" s="154">
        <v>17</v>
      </c>
      <c r="M11" s="13">
        <f t="shared" si="12"/>
        <v>1438.0165289256202</v>
      </c>
      <c r="N11" s="12">
        <f t="shared" si="3"/>
        <v>84.589207583860002</v>
      </c>
      <c r="O11" s="14">
        <f t="shared" si="4"/>
        <v>0</v>
      </c>
      <c r="P11" s="15">
        <f t="shared" si="5"/>
        <v>-3.6460865337870558</v>
      </c>
      <c r="Q11" s="149">
        <f t="shared" si="6"/>
        <v>0.95867768595041336</v>
      </c>
      <c r="R11" s="615"/>
      <c r="S11" s="34">
        <v>0.41041666666666665</v>
      </c>
      <c r="T11" s="34">
        <v>0.49444444444444441</v>
      </c>
      <c r="U11" s="150">
        <f t="shared" si="14"/>
        <v>5.9999999999999787</v>
      </c>
      <c r="V11" s="155">
        <f t="shared" si="13"/>
        <v>120.99999999999997</v>
      </c>
      <c r="W11" s="16">
        <f>T11</f>
        <v>0.49444444444444441</v>
      </c>
      <c r="X11" s="16">
        <f>S12</f>
        <v>0.53541666666666665</v>
      </c>
      <c r="Y11" s="16"/>
      <c r="Z11" s="16"/>
      <c r="AA11" s="617"/>
      <c r="AB11" s="617"/>
      <c r="AC11" s="35"/>
      <c r="AD11" s="18"/>
      <c r="AE11" s="14">
        <f t="shared" si="8"/>
        <v>-61.98347107437985</v>
      </c>
      <c r="AF11" s="149">
        <f t="shared" si="9"/>
        <v>0.95867768595041347</v>
      </c>
      <c r="AG11" s="615"/>
    </row>
    <row r="12" spans="1:33" ht="15.75" customHeight="1">
      <c r="A12" s="648" t="s">
        <v>7</v>
      </c>
      <c r="B12" s="29" t="s">
        <v>19</v>
      </c>
      <c r="C12" s="644" t="s">
        <v>21</v>
      </c>
      <c r="D12" s="645"/>
      <c r="E12" s="29">
        <v>39.799999999999997</v>
      </c>
      <c r="F12" s="156">
        <v>4044</v>
      </c>
      <c r="G12" s="150">
        <f t="shared" si="11"/>
        <v>160951.19999999998</v>
      </c>
      <c r="H12" s="33" t="s">
        <v>57</v>
      </c>
      <c r="I12" s="154">
        <v>17</v>
      </c>
      <c r="J12" s="31">
        <v>1500</v>
      </c>
      <c r="K12" s="12">
        <f t="shared" si="1"/>
        <v>88.235294117647058</v>
      </c>
      <c r="L12" s="154">
        <v>17</v>
      </c>
      <c r="M12" s="13">
        <f t="shared" si="12"/>
        <v>1427.2941176470586</v>
      </c>
      <c r="N12" s="12">
        <f t="shared" si="3"/>
        <v>83.958477508650503</v>
      </c>
      <c r="O12" s="14">
        <f t="shared" si="4"/>
        <v>0</v>
      </c>
      <c r="P12" s="15">
        <f t="shared" si="5"/>
        <v>-4.2768166089965547</v>
      </c>
      <c r="Q12" s="149">
        <f t="shared" si="6"/>
        <v>0.95152941176470573</v>
      </c>
      <c r="R12" s="615"/>
      <c r="S12" s="34">
        <v>0.53541666666666665</v>
      </c>
      <c r="T12" s="34">
        <v>0.65347222222222223</v>
      </c>
      <c r="U12" s="150">
        <f t="shared" si="14"/>
        <v>59.000000000000028</v>
      </c>
      <c r="V12" s="155">
        <f t="shared" si="13"/>
        <v>170.00000000000003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-72.705882352941444</v>
      </c>
      <c r="AF12" s="149">
        <f t="shared" si="9"/>
        <v>0.95152941176470573</v>
      </c>
      <c r="AG12" s="615"/>
    </row>
    <row r="13" spans="1:33" ht="16.5" customHeight="1">
      <c r="A13" s="648" t="s">
        <v>448</v>
      </c>
      <c r="B13" s="29" t="s">
        <v>449</v>
      </c>
      <c r="C13" s="618"/>
      <c r="D13" s="618"/>
      <c r="E13" s="151"/>
      <c r="F13" s="31"/>
      <c r="G13" s="13"/>
      <c r="H13" s="156"/>
      <c r="I13" s="23">
        <v>17.25</v>
      </c>
      <c r="J13" s="31">
        <v>1500</v>
      </c>
      <c r="K13" s="12">
        <f t="shared" si="1"/>
        <v>86.956521739130437</v>
      </c>
      <c r="L13" s="23">
        <v>17.25</v>
      </c>
      <c r="M13" s="13">
        <f>AVERAGE(M9:M12)</f>
        <v>1433.1399454708605</v>
      </c>
      <c r="N13" s="12">
        <f t="shared" si="3"/>
        <v>83.080576549035399</v>
      </c>
      <c r="O13" s="14">
        <f t="shared" si="4"/>
        <v>0</v>
      </c>
      <c r="P13" s="15">
        <f t="shared" si="5"/>
        <v>-3.8759451900950381</v>
      </c>
      <c r="Q13" s="149">
        <f t="shared" si="6"/>
        <v>0.95542663031390707</v>
      </c>
      <c r="R13" s="615"/>
      <c r="S13" s="34"/>
      <c r="T13" s="34"/>
      <c r="U13" s="12"/>
      <c r="V13" s="155"/>
      <c r="W13" s="12"/>
      <c r="X13" s="12"/>
      <c r="Y13" s="24">
        <f>SUM(Y9:Y12)</f>
        <v>0</v>
      </c>
      <c r="Z13" s="24">
        <f>SUM(Z9:Z12)</f>
        <v>0</v>
      </c>
      <c r="AA13" s="614"/>
      <c r="AB13" s="614"/>
      <c r="AC13" s="24">
        <v>4</v>
      </c>
      <c r="AD13" s="24">
        <f>SUM(AD9:AD12)</f>
        <v>0</v>
      </c>
      <c r="AE13" s="14">
        <f t="shared" si="8"/>
        <v>-66.860054529139461</v>
      </c>
      <c r="AF13" s="149">
        <f t="shared" si="9"/>
        <v>0.95542663031390707</v>
      </c>
      <c r="AG13" s="615"/>
    </row>
    <row r="14" spans="1:33" ht="16.5" customHeight="1">
      <c r="A14" s="646" t="s">
        <v>8</v>
      </c>
      <c r="B14" s="156" t="s">
        <v>22</v>
      </c>
      <c r="C14" s="640" t="s">
        <v>23</v>
      </c>
      <c r="D14" s="640"/>
      <c r="E14" s="29">
        <v>41</v>
      </c>
      <c r="F14" s="156">
        <v>1744</v>
      </c>
      <c r="G14" s="150">
        <f t="shared" ref="G14:G20" si="15">E14*F14</f>
        <v>71504</v>
      </c>
      <c r="H14" s="33" t="s">
        <v>57</v>
      </c>
      <c r="I14" s="154">
        <v>26</v>
      </c>
      <c r="J14" s="31">
        <v>1500</v>
      </c>
      <c r="K14" s="12">
        <f t="shared" si="1"/>
        <v>57.692307692307693</v>
      </c>
      <c r="L14" s="154">
        <v>26</v>
      </c>
      <c r="M14" s="13">
        <f t="shared" ref="M14:M20" si="16">F14/V14*60</f>
        <v>1433.4246575342465</v>
      </c>
      <c r="N14" s="12">
        <f t="shared" si="3"/>
        <v>55.131717597471024</v>
      </c>
      <c r="O14" s="14">
        <f t="shared" si="4"/>
        <v>0</v>
      </c>
      <c r="P14" s="15">
        <f t="shared" si="5"/>
        <v>-2.5605900948366696</v>
      </c>
      <c r="Q14" s="149">
        <f t="shared" si="6"/>
        <v>0.95561643835616439</v>
      </c>
      <c r="R14" s="615">
        <f>Q21</f>
        <v>0.96072109516932613</v>
      </c>
      <c r="S14" s="34">
        <v>8.3333333333333329E-2</v>
      </c>
      <c r="T14" s="34">
        <v>0.13402777777777777</v>
      </c>
      <c r="U14" s="150"/>
      <c r="V14" s="155">
        <f t="shared" ref="V14:V20" si="17">(T14-S14)*24*60</f>
        <v>73</v>
      </c>
      <c r="W14" s="16">
        <f>T14</f>
        <v>0.13402777777777777</v>
      </c>
      <c r="X14" s="16">
        <f>S15</f>
        <v>0.15416666666666667</v>
      </c>
      <c r="Y14" s="21"/>
      <c r="Z14" s="21"/>
      <c r="AA14" s="617"/>
      <c r="AB14" s="617"/>
      <c r="AC14" s="35">
        <v>7</v>
      </c>
      <c r="AD14" s="18"/>
      <c r="AE14" s="14">
        <f t="shared" si="8"/>
        <v>-66.575342465753465</v>
      </c>
      <c r="AF14" s="149">
        <f t="shared" si="9"/>
        <v>0.95561643835616439</v>
      </c>
      <c r="AG14" s="615">
        <f>AF21</f>
        <v>0.96072109516932602</v>
      </c>
    </row>
    <row r="15" spans="1:33" ht="16.5" customHeight="1">
      <c r="A15" s="647" t="s">
        <v>450</v>
      </c>
      <c r="B15" s="156" t="s">
        <v>22</v>
      </c>
      <c r="C15" s="640" t="s">
        <v>87</v>
      </c>
      <c r="D15" s="640"/>
      <c r="E15" s="29">
        <v>38.619999999999997</v>
      </c>
      <c r="F15" s="156">
        <v>2061</v>
      </c>
      <c r="G15" s="150">
        <f t="shared" si="15"/>
        <v>79595.819999999992</v>
      </c>
      <c r="H15" s="33" t="s">
        <v>57</v>
      </c>
      <c r="I15" s="154">
        <v>24</v>
      </c>
      <c r="J15" s="31">
        <v>1500</v>
      </c>
      <c r="K15" s="12">
        <f t="shared" si="1"/>
        <v>62.5</v>
      </c>
      <c r="L15" s="154">
        <v>24</v>
      </c>
      <c r="M15" s="13">
        <f t="shared" si="16"/>
        <v>1437.9069767441858</v>
      </c>
      <c r="N15" s="12">
        <f t="shared" si="3"/>
        <v>59.91279069767441</v>
      </c>
      <c r="O15" s="14">
        <f t="shared" si="4"/>
        <v>0</v>
      </c>
      <c r="P15" s="15">
        <f t="shared" si="5"/>
        <v>-2.58720930232559</v>
      </c>
      <c r="Q15" s="149">
        <f t="shared" si="6"/>
        <v>0.95860465116279059</v>
      </c>
      <c r="R15" s="615"/>
      <c r="S15" s="34">
        <v>0.15416666666666667</v>
      </c>
      <c r="T15" s="34">
        <v>0.21388888888888891</v>
      </c>
      <c r="U15" s="150">
        <f t="shared" ref="U15:U20" si="18">IF(S15=TIME(17,0,0),"",(S15-T14)*24*60)</f>
        <v>29.000000000000018</v>
      </c>
      <c r="V15" s="155">
        <f t="shared" si="17"/>
        <v>86.000000000000014</v>
      </c>
      <c r="W15" s="16"/>
      <c r="X15" s="16"/>
      <c r="Y15" s="16"/>
      <c r="Z15" s="16"/>
      <c r="AA15" s="617"/>
      <c r="AB15" s="617"/>
      <c r="AC15" s="35"/>
      <c r="AD15" s="18"/>
      <c r="AE15" s="14">
        <f t="shared" si="8"/>
        <v>-62.09302325581416</v>
      </c>
      <c r="AF15" s="149">
        <f t="shared" si="9"/>
        <v>0.95860465116279059</v>
      </c>
      <c r="AG15" s="615"/>
    </row>
    <row r="16" spans="1:33" ht="16.5" customHeight="1">
      <c r="A16" s="647" t="s">
        <v>8</v>
      </c>
      <c r="B16" s="156" t="s">
        <v>15</v>
      </c>
      <c r="C16" s="640" t="s">
        <v>86</v>
      </c>
      <c r="D16" s="640"/>
      <c r="E16" s="29">
        <v>37.03</v>
      </c>
      <c r="F16" s="156">
        <v>2857</v>
      </c>
      <c r="G16" s="150">
        <f t="shared" si="15"/>
        <v>105794.71</v>
      </c>
      <c r="H16" s="33" t="s">
        <v>57</v>
      </c>
      <c r="I16" s="154">
        <v>13</v>
      </c>
      <c r="J16" s="31">
        <v>1500</v>
      </c>
      <c r="K16" s="12">
        <f t="shared" si="1"/>
        <v>115.38461538461539</v>
      </c>
      <c r="L16" s="154">
        <v>13</v>
      </c>
      <c r="M16" s="13">
        <f t="shared" si="16"/>
        <v>1440.5042016806726</v>
      </c>
      <c r="N16" s="12">
        <f t="shared" si="3"/>
        <v>110.8080155138979</v>
      </c>
      <c r="O16" s="14">
        <f t="shared" si="4"/>
        <v>0</v>
      </c>
      <c r="P16" s="15">
        <f t="shared" si="5"/>
        <v>-4.5765998707174873</v>
      </c>
      <c r="Q16" s="149">
        <f t="shared" si="6"/>
        <v>0.96033613445378174</v>
      </c>
      <c r="R16" s="615"/>
      <c r="S16" s="34">
        <v>0.21736111111111112</v>
      </c>
      <c r="T16" s="34">
        <v>0.3</v>
      </c>
      <c r="U16" s="150">
        <f t="shared" si="18"/>
        <v>4.9999999999999822</v>
      </c>
      <c r="V16" s="155">
        <f t="shared" si="17"/>
        <v>118.99999999999997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-59.495798319327378</v>
      </c>
      <c r="AF16" s="149">
        <f t="shared" si="9"/>
        <v>0.96033613445378174</v>
      </c>
      <c r="AG16" s="615"/>
    </row>
    <row r="17" spans="1:33" ht="16.5" customHeight="1">
      <c r="A17" s="647" t="s">
        <v>8</v>
      </c>
      <c r="B17" s="156" t="s">
        <v>19</v>
      </c>
      <c r="C17" s="640" t="s">
        <v>267</v>
      </c>
      <c r="D17" s="640"/>
      <c r="E17" s="29">
        <v>39.520000000000003</v>
      </c>
      <c r="F17" s="156">
        <v>5316</v>
      </c>
      <c r="G17" s="150">
        <f t="shared" si="15"/>
        <v>210088.32000000001</v>
      </c>
      <c r="H17" s="33" t="s">
        <v>57</v>
      </c>
      <c r="I17" s="154">
        <v>19</v>
      </c>
      <c r="J17" s="31">
        <v>1500</v>
      </c>
      <c r="K17" s="12">
        <f t="shared" si="1"/>
        <v>78.94736842105263</v>
      </c>
      <c r="L17" s="154">
        <v>19</v>
      </c>
      <c r="M17" s="13">
        <f t="shared" si="16"/>
        <v>1430.3139013452915</v>
      </c>
      <c r="N17" s="12">
        <f t="shared" si="3"/>
        <v>75.27967901817324</v>
      </c>
      <c r="O17" s="14">
        <f t="shared" si="4"/>
        <v>0</v>
      </c>
      <c r="P17" s="15">
        <f t="shared" si="5"/>
        <v>-3.6676894028793896</v>
      </c>
      <c r="Q17" s="149">
        <f t="shared" si="6"/>
        <v>0.95354260089686105</v>
      </c>
      <c r="R17" s="615"/>
      <c r="S17" s="34">
        <v>0.3034722222222222</v>
      </c>
      <c r="T17" s="34">
        <v>0.45833333333333331</v>
      </c>
      <c r="U17" s="150">
        <f t="shared" si="18"/>
        <v>4.9999999999999822</v>
      </c>
      <c r="V17" s="155">
        <f t="shared" si="17"/>
        <v>223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-69.68609865470853</v>
      </c>
      <c r="AF17" s="149">
        <f t="shared" si="9"/>
        <v>0.95354260089686094</v>
      </c>
      <c r="AG17" s="615"/>
    </row>
    <row r="18" spans="1:33" ht="16.5" customHeight="1">
      <c r="A18" s="647" t="s">
        <v>450</v>
      </c>
      <c r="B18" s="156" t="s">
        <v>15</v>
      </c>
      <c r="C18" s="640" t="s">
        <v>25</v>
      </c>
      <c r="D18" s="640"/>
      <c r="E18" s="29">
        <v>53.68</v>
      </c>
      <c r="F18" s="156">
        <v>875</v>
      </c>
      <c r="G18" s="150">
        <f t="shared" si="15"/>
        <v>46970</v>
      </c>
      <c r="H18" s="33" t="s">
        <v>57</v>
      </c>
      <c r="I18" s="154">
        <v>16</v>
      </c>
      <c r="J18" s="31">
        <v>1500</v>
      </c>
      <c r="K18" s="12">
        <f t="shared" si="1"/>
        <v>93.75</v>
      </c>
      <c r="L18" s="154">
        <v>16</v>
      </c>
      <c r="M18" s="13">
        <f t="shared" si="16"/>
        <v>1458.3333333333321</v>
      </c>
      <c r="N18" s="12">
        <f t="shared" si="3"/>
        <v>91.145833333333258</v>
      </c>
      <c r="O18" s="14">
        <f t="shared" si="4"/>
        <v>0</v>
      </c>
      <c r="P18" s="15">
        <f t="shared" si="5"/>
        <v>-2.6041666666667425</v>
      </c>
      <c r="Q18" s="149">
        <f t="shared" si="6"/>
        <v>0.97222222222222143</v>
      </c>
      <c r="R18" s="615"/>
      <c r="S18" s="34">
        <v>0.70833333333333337</v>
      </c>
      <c r="T18" s="34">
        <v>0.73333333333333339</v>
      </c>
      <c r="U18" s="150" t="str">
        <f t="shared" si="18"/>
        <v/>
      </c>
      <c r="V18" s="155">
        <f t="shared" si="17"/>
        <v>36.000000000000028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-41.666666666667879</v>
      </c>
      <c r="AF18" s="149">
        <f t="shared" si="9"/>
        <v>0.97222222222222143</v>
      </c>
      <c r="AG18" s="615"/>
    </row>
    <row r="19" spans="1:33" ht="16.5" customHeight="1">
      <c r="A19" s="647" t="s">
        <v>450</v>
      </c>
      <c r="B19" s="156" t="s">
        <v>15</v>
      </c>
      <c r="C19" s="152" t="s">
        <v>18</v>
      </c>
      <c r="D19" s="153"/>
      <c r="E19" s="29">
        <v>52.86</v>
      </c>
      <c r="F19" s="156">
        <v>1109</v>
      </c>
      <c r="G19" s="150">
        <f t="shared" si="15"/>
        <v>58621.74</v>
      </c>
      <c r="H19" s="33" t="s">
        <v>57</v>
      </c>
      <c r="I19" s="154">
        <v>16</v>
      </c>
      <c r="J19" s="31">
        <v>2000</v>
      </c>
      <c r="K19" s="12">
        <f t="shared" si="1"/>
        <v>125</v>
      </c>
      <c r="L19" s="154">
        <v>16</v>
      </c>
      <c r="M19" s="13">
        <f t="shared" si="16"/>
        <v>1901.1428571428553</v>
      </c>
      <c r="N19" s="12">
        <f t="shared" si="3"/>
        <v>118.82142857142846</v>
      </c>
      <c r="O19" s="14">
        <f t="shared" si="4"/>
        <v>0</v>
      </c>
      <c r="P19" s="15">
        <f t="shared" si="5"/>
        <v>-6.1785714285715443</v>
      </c>
      <c r="Q19" s="149">
        <f t="shared" si="6"/>
        <v>0.95057142857142762</v>
      </c>
      <c r="R19" s="615"/>
      <c r="S19" s="34">
        <v>0.7368055555555556</v>
      </c>
      <c r="T19" s="34">
        <v>0.76111111111111118</v>
      </c>
      <c r="U19" s="150">
        <f t="shared" si="18"/>
        <v>4.9999999999999822</v>
      </c>
      <c r="V19" s="155">
        <f t="shared" si="17"/>
        <v>35.000000000000036</v>
      </c>
      <c r="W19" s="16"/>
      <c r="X19" s="16"/>
      <c r="Y19" s="19"/>
      <c r="Z19" s="19"/>
      <c r="AA19" s="145"/>
      <c r="AB19" s="146"/>
      <c r="AC19" s="35"/>
      <c r="AD19" s="18"/>
      <c r="AE19" s="14">
        <f t="shared" si="8"/>
        <v>-98.857142857144709</v>
      </c>
      <c r="AF19" s="149">
        <f t="shared" si="9"/>
        <v>0.95057142857142762</v>
      </c>
      <c r="AG19" s="615"/>
    </row>
    <row r="20" spans="1:33" ht="16.5" customHeight="1">
      <c r="A20" s="647" t="s">
        <v>8</v>
      </c>
      <c r="B20" s="156" t="s">
        <v>15</v>
      </c>
      <c r="C20" s="152" t="s">
        <v>16</v>
      </c>
      <c r="D20" s="153"/>
      <c r="E20" s="29">
        <v>50.67</v>
      </c>
      <c r="F20" s="156">
        <v>1168</v>
      </c>
      <c r="G20" s="150">
        <f t="shared" si="15"/>
        <v>59182.560000000005</v>
      </c>
      <c r="H20" s="33" t="s">
        <v>57</v>
      </c>
      <c r="I20" s="154">
        <v>17</v>
      </c>
      <c r="J20" s="31">
        <v>2000</v>
      </c>
      <c r="K20" s="12">
        <f t="shared" si="1"/>
        <v>117.64705882352941</v>
      </c>
      <c r="L20" s="154">
        <v>17</v>
      </c>
      <c r="M20" s="13">
        <f t="shared" si="16"/>
        <v>1946.6666666666654</v>
      </c>
      <c r="N20" s="12">
        <f t="shared" si="3"/>
        <v>114.50980392156855</v>
      </c>
      <c r="O20" s="14">
        <f t="shared" si="4"/>
        <v>0</v>
      </c>
      <c r="P20" s="15">
        <f t="shared" si="5"/>
        <v>-3.1372549019608584</v>
      </c>
      <c r="Q20" s="149">
        <f t="shared" si="6"/>
        <v>0.97333333333333272</v>
      </c>
      <c r="R20" s="615"/>
      <c r="S20" s="34">
        <v>0.76527777777777783</v>
      </c>
      <c r="T20" s="34">
        <v>0.79027777777777786</v>
      </c>
      <c r="U20" s="150">
        <f t="shared" si="18"/>
        <v>5.9999999999999787</v>
      </c>
      <c r="V20" s="155">
        <f t="shared" si="17"/>
        <v>36.000000000000028</v>
      </c>
      <c r="W20" s="16"/>
      <c r="X20" s="16"/>
      <c r="Y20" s="19"/>
      <c r="Z20" s="19"/>
      <c r="AA20" s="145"/>
      <c r="AB20" s="146"/>
      <c r="AC20" s="35"/>
      <c r="AD20" s="18"/>
      <c r="AE20" s="14">
        <f t="shared" si="8"/>
        <v>-53.333333333334622</v>
      </c>
      <c r="AF20" s="149">
        <f t="shared" si="9"/>
        <v>0.97333333333333272</v>
      </c>
      <c r="AG20" s="615"/>
    </row>
    <row r="21" spans="1:33" ht="16.5" customHeight="1">
      <c r="A21" s="647" t="s">
        <v>450</v>
      </c>
      <c r="B21" s="29" t="s">
        <v>449</v>
      </c>
      <c r="C21" s="618"/>
      <c r="D21" s="618"/>
      <c r="E21" s="151"/>
      <c r="F21" s="30"/>
      <c r="G21" s="12"/>
      <c r="H21" s="156"/>
      <c r="I21" s="23">
        <v>18.714285714285715</v>
      </c>
      <c r="J21" s="31">
        <v>1642.8571428571429</v>
      </c>
      <c r="K21" s="12">
        <f t="shared" si="1"/>
        <v>87.786259541984734</v>
      </c>
      <c r="L21" s="23">
        <v>18.714285714285715</v>
      </c>
      <c r="M21" s="13">
        <f>AVERAGE(M14:M20)</f>
        <v>1578.3275134924643</v>
      </c>
      <c r="N21" s="12">
        <f t="shared" si="3"/>
        <v>84.338111407994276</v>
      </c>
      <c r="O21" s="14">
        <f t="shared" si="4"/>
        <v>0</v>
      </c>
      <c r="P21" s="15">
        <f t="shared" si="5"/>
        <v>-3.4481481339904576</v>
      </c>
      <c r="Q21" s="149">
        <f t="shared" si="6"/>
        <v>0.96072109516932613</v>
      </c>
      <c r="R21" s="615"/>
      <c r="S21" s="34"/>
      <c r="T21" s="34"/>
      <c r="U21" s="150"/>
      <c r="V21" s="155"/>
      <c r="W21" s="12"/>
      <c r="X21" s="12"/>
      <c r="Y21" s="24">
        <f>SUM(Y14:Y20)</f>
        <v>0</v>
      </c>
      <c r="Z21" s="24">
        <f>SUM(Z14:Z20)</f>
        <v>0</v>
      </c>
      <c r="AA21" s="614"/>
      <c r="AB21" s="614"/>
      <c r="AC21" s="24">
        <v>7</v>
      </c>
      <c r="AD21" s="24">
        <f>SUM(AD14:AD20)</f>
        <v>0</v>
      </c>
      <c r="AE21" s="14">
        <f t="shared" si="8"/>
        <v>-64.529629364678613</v>
      </c>
      <c r="AF21" s="149">
        <f t="shared" si="9"/>
        <v>0.96072109516932602</v>
      </c>
      <c r="AG21" s="615"/>
    </row>
    <row r="22" spans="1:33" ht="15.75" customHeight="1">
      <c r="A22" s="642" t="s">
        <v>451</v>
      </c>
      <c r="B22" s="29" t="s">
        <v>15</v>
      </c>
      <c r="C22" s="640" t="s">
        <v>24</v>
      </c>
      <c r="D22" s="640"/>
      <c r="E22" s="29">
        <v>54.09</v>
      </c>
      <c r="F22" s="156">
        <v>1384</v>
      </c>
      <c r="G22" s="150">
        <f t="shared" ref="G22:G27" si="19">E22*F22</f>
        <v>74860.56</v>
      </c>
      <c r="H22" s="33" t="s">
        <v>57</v>
      </c>
      <c r="I22" s="154">
        <v>17</v>
      </c>
      <c r="J22" s="31">
        <v>1500</v>
      </c>
      <c r="K22" s="12">
        <f t="shared" si="1"/>
        <v>88.235294117647058</v>
      </c>
      <c r="L22" s="154">
        <v>17</v>
      </c>
      <c r="M22" s="13">
        <f t="shared" ref="M22:M27" si="20">F22/V22*60</f>
        <v>1431.7241379310346</v>
      </c>
      <c r="N22" s="12">
        <f t="shared" si="3"/>
        <v>84.219066937119692</v>
      </c>
      <c r="O22" s="14">
        <f t="shared" si="4"/>
        <v>0</v>
      </c>
      <c r="P22" s="15">
        <f t="shared" si="5"/>
        <v>-4.0162271805273662</v>
      </c>
      <c r="Q22" s="149">
        <f t="shared" si="6"/>
        <v>0.95448275862068988</v>
      </c>
      <c r="R22" s="615">
        <f>Q28</f>
        <v>0.95912571853535167</v>
      </c>
      <c r="S22" s="34">
        <v>0.20833333333333334</v>
      </c>
      <c r="T22" s="34">
        <v>0.24861111111111112</v>
      </c>
      <c r="U22" s="150"/>
      <c r="V22" s="155">
        <f t="shared" ref="V22:V27" si="21">(T22-S22)*24*60</f>
        <v>57.999999999999993</v>
      </c>
      <c r="W22" s="21"/>
      <c r="X22" s="21"/>
      <c r="Y22" s="21"/>
      <c r="Z22" s="21"/>
      <c r="AA22" s="617"/>
      <c r="AB22" s="617"/>
      <c r="AC22" s="35">
        <v>6</v>
      </c>
      <c r="AD22" s="18"/>
      <c r="AE22" s="14">
        <f t="shared" si="8"/>
        <v>-68.275862068965353</v>
      </c>
      <c r="AF22" s="149">
        <f t="shared" si="9"/>
        <v>0.95448275862068976</v>
      </c>
      <c r="AG22" s="615">
        <f>AF28</f>
        <v>0.95912571853535167</v>
      </c>
    </row>
    <row r="23" spans="1:33" ht="15.75" customHeight="1">
      <c r="A23" s="643" t="s">
        <v>451</v>
      </c>
      <c r="B23" s="29" t="s">
        <v>15</v>
      </c>
      <c r="C23" s="640" t="s">
        <v>28</v>
      </c>
      <c r="D23" s="640"/>
      <c r="E23" s="29">
        <v>50.67</v>
      </c>
      <c r="F23" s="156">
        <v>1812</v>
      </c>
      <c r="G23" s="150">
        <f t="shared" si="19"/>
        <v>91814.040000000008</v>
      </c>
      <c r="H23" s="33" t="s">
        <v>57</v>
      </c>
      <c r="I23" s="154">
        <v>17</v>
      </c>
      <c r="J23" s="31">
        <v>2000</v>
      </c>
      <c r="K23" s="12">
        <f t="shared" si="1"/>
        <v>117.64705882352941</v>
      </c>
      <c r="L23" s="154">
        <v>17</v>
      </c>
      <c r="M23" s="13">
        <f t="shared" si="20"/>
        <v>1907.368421052633</v>
      </c>
      <c r="N23" s="12">
        <f t="shared" si="3"/>
        <v>112.19814241486077</v>
      </c>
      <c r="O23" s="14">
        <f t="shared" si="4"/>
        <v>0</v>
      </c>
      <c r="P23" s="15">
        <f t="shared" si="5"/>
        <v>-5.4489164086686372</v>
      </c>
      <c r="Q23" s="149">
        <f t="shared" si="6"/>
        <v>0.95368421052631658</v>
      </c>
      <c r="R23" s="615"/>
      <c r="S23" s="34">
        <v>0.25416666666666665</v>
      </c>
      <c r="T23" s="34">
        <v>0.29374999999999996</v>
      </c>
      <c r="U23" s="150">
        <f t="shared" ref="U23:U27" si="22">IF(S23=TIME(17,0,0),"",(S23-T22)*24*60)</f>
        <v>7.9999999999999716</v>
      </c>
      <c r="V23" s="155">
        <f t="shared" si="21"/>
        <v>56.999999999999957</v>
      </c>
      <c r="W23" s="16"/>
      <c r="X23" s="150"/>
      <c r="Y23" s="150"/>
      <c r="Z23" s="150"/>
      <c r="AA23" s="617"/>
      <c r="AB23" s="617"/>
      <c r="AC23" s="35"/>
      <c r="AD23" s="18"/>
      <c r="AE23" s="14">
        <f t="shared" si="8"/>
        <v>-92.631578947366961</v>
      </c>
      <c r="AF23" s="149">
        <f t="shared" si="9"/>
        <v>0.95368421052631647</v>
      </c>
      <c r="AG23" s="615"/>
    </row>
    <row r="24" spans="1:33" ht="15.75" customHeight="1">
      <c r="A24" s="643" t="s">
        <v>9</v>
      </c>
      <c r="B24" s="29" t="s">
        <v>15</v>
      </c>
      <c r="C24" s="640" t="s">
        <v>29</v>
      </c>
      <c r="D24" s="640"/>
      <c r="E24" s="29">
        <v>57.73</v>
      </c>
      <c r="F24" s="156">
        <v>1936</v>
      </c>
      <c r="G24" s="150">
        <f t="shared" si="19"/>
        <v>111765.28</v>
      </c>
      <c r="H24" s="33" t="s">
        <v>57</v>
      </c>
      <c r="I24" s="154">
        <v>14</v>
      </c>
      <c r="J24" s="31">
        <v>2000</v>
      </c>
      <c r="K24" s="12">
        <f t="shared" si="1"/>
        <v>142.85714285714286</v>
      </c>
      <c r="L24" s="154">
        <v>14</v>
      </c>
      <c r="M24" s="13">
        <f t="shared" si="20"/>
        <v>1904.2622950819666</v>
      </c>
      <c r="N24" s="12">
        <f t="shared" si="3"/>
        <v>136.0187353629976</v>
      </c>
      <c r="O24" s="14">
        <f t="shared" si="4"/>
        <v>0</v>
      </c>
      <c r="P24" s="15">
        <f t="shared" si="5"/>
        <v>-6.8384074941452582</v>
      </c>
      <c r="Q24" s="149">
        <f t="shared" si="6"/>
        <v>0.95213114754098316</v>
      </c>
      <c r="R24" s="615"/>
      <c r="S24" s="34">
        <v>0.29930555555555549</v>
      </c>
      <c r="T24" s="34">
        <v>0.34166666666666662</v>
      </c>
      <c r="U24" s="150">
        <f t="shared" si="22"/>
        <v>7.9999999999999716</v>
      </c>
      <c r="V24" s="155">
        <f t="shared" si="21"/>
        <v>61.000000000000021</v>
      </c>
      <c r="W24" s="16"/>
      <c r="X24" s="150"/>
      <c r="Y24" s="150"/>
      <c r="Z24" s="150"/>
      <c r="AA24" s="617"/>
      <c r="AB24" s="617"/>
      <c r="AC24" s="35"/>
      <c r="AD24" s="18"/>
      <c r="AE24" s="14">
        <f t="shared" si="8"/>
        <v>-95.737704918033387</v>
      </c>
      <c r="AF24" s="149">
        <f t="shared" si="9"/>
        <v>0.95213114754098327</v>
      </c>
      <c r="AG24" s="615"/>
    </row>
    <row r="25" spans="1:33" ht="15.75" customHeight="1">
      <c r="A25" s="643" t="s">
        <v>9</v>
      </c>
      <c r="B25" s="29" t="s">
        <v>15</v>
      </c>
      <c r="C25" s="640" t="s">
        <v>80</v>
      </c>
      <c r="D25" s="640"/>
      <c r="E25" s="29">
        <v>53.27</v>
      </c>
      <c r="F25" s="156">
        <v>1728</v>
      </c>
      <c r="G25" s="150">
        <f t="shared" si="19"/>
        <v>92050.560000000012</v>
      </c>
      <c r="H25" s="33" t="s">
        <v>57</v>
      </c>
      <c r="I25" s="154">
        <v>16</v>
      </c>
      <c r="J25" s="31">
        <v>2000</v>
      </c>
      <c r="K25" s="12">
        <f t="shared" si="1"/>
        <v>125</v>
      </c>
      <c r="L25" s="154">
        <v>16</v>
      </c>
      <c r="M25" s="13">
        <f t="shared" si="20"/>
        <v>1920.0000000000009</v>
      </c>
      <c r="N25" s="12">
        <f t="shared" si="3"/>
        <v>120.00000000000006</v>
      </c>
      <c r="O25" s="14">
        <f t="shared" si="4"/>
        <v>0</v>
      </c>
      <c r="P25" s="15">
        <f t="shared" si="5"/>
        <v>-4.9999999999999432</v>
      </c>
      <c r="Q25" s="149">
        <f t="shared" si="6"/>
        <v>0.96000000000000041</v>
      </c>
      <c r="R25" s="615"/>
      <c r="S25" s="34">
        <v>0.34652777777777771</v>
      </c>
      <c r="T25" s="34">
        <v>0.38402777777777769</v>
      </c>
      <c r="U25" s="150">
        <f t="shared" si="22"/>
        <v>6.9999999999999751</v>
      </c>
      <c r="V25" s="155">
        <f t="shared" si="21"/>
        <v>53.999999999999972</v>
      </c>
      <c r="W25" s="16"/>
      <c r="X25" s="150"/>
      <c r="Y25" s="150"/>
      <c r="Z25" s="150"/>
      <c r="AA25" s="617"/>
      <c r="AB25" s="617"/>
      <c r="AC25" s="35"/>
      <c r="AD25" s="18"/>
      <c r="AE25" s="14">
        <f t="shared" si="8"/>
        <v>-79.999999999999091</v>
      </c>
      <c r="AF25" s="149">
        <f t="shared" si="9"/>
        <v>0.96000000000000041</v>
      </c>
      <c r="AG25" s="615"/>
    </row>
    <row r="26" spans="1:33" ht="15.75" customHeight="1">
      <c r="A26" s="643" t="s">
        <v>9</v>
      </c>
      <c r="B26" s="29" t="s">
        <v>15</v>
      </c>
      <c r="C26" s="640" t="s">
        <v>30</v>
      </c>
      <c r="D26" s="640"/>
      <c r="E26" s="29">
        <v>50.49</v>
      </c>
      <c r="F26" s="156">
        <v>1411</v>
      </c>
      <c r="G26" s="150">
        <f t="shared" si="19"/>
        <v>71241.39</v>
      </c>
      <c r="H26" s="33" t="s">
        <v>57</v>
      </c>
      <c r="I26" s="154">
        <v>15</v>
      </c>
      <c r="J26" s="31">
        <v>2000</v>
      </c>
      <c r="K26" s="12">
        <f t="shared" si="1"/>
        <v>133.33333333333334</v>
      </c>
      <c r="L26" s="154">
        <v>15</v>
      </c>
      <c r="M26" s="13">
        <f t="shared" si="20"/>
        <v>1924.0909090909092</v>
      </c>
      <c r="N26" s="12">
        <f t="shared" si="3"/>
        <v>128.27272727272728</v>
      </c>
      <c r="O26" s="14">
        <f t="shared" si="4"/>
        <v>0</v>
      </c>
      <c r="P26" s="15">
        <f t="shared" si="5"/>
        <v>-5.0606060606060623</v>
      </c>
      <c r="Q26" s="149">
        <f t="shared" si="6"/>
        <v>0.96204545454545454</v>
      </c>
      <c r="R26" s="615"/>
      <c r="S26" s="34">
        <v>0.70833333333333337</v>
      </c>
      <c r="T26" s="34">
        <v>0.73888888888888893</v>
      </c>
      <c r="U26" s="150" t="str">
        <f t="shared" si="22"/>
        <v/>
      </c>
      <c r="V26" s="155">
        <f t="shared" si="21"/>
        <v>44</v>
      </c>
      <c r="W26" s="16"/>
      <c r="X26" s="16"/>
      <c r="Y26" s="150"/>
      <c r="Z26" s="150"/>
      <c r="AA26" s="617"/>
      <c r="AB26" s="617"/>
      <c r="AC26" s="35"/>
      <c r="AD26" s="18"/>
      <c r="AE26" s="14">
        <f t="shared" si="8"/>
        <v>-75.909090909090764</v>
      </c>
      <c r="AF26" s="149">
        <f t="shared" si="9"/>
        <v>0.96204545454545465</v>
      </c>
      <c r="AG26" s="615"/>
    </row>
    <row r="27" spans="1:33" ht="15.75" customHeight="1">
      <c r="A27" s="643" t="s">
        <v>451</v>
      </c>
      <c r="B27" s="29" t="s">
        <v>15</v>
      </c>
      <c r="C27" s="640" t="s">
        <v>85</v>
      </c>
      <c r="D27" s="640"/>
      <c r="E27" s="29">
        <v>56.43</v>
      </c>
      <c r="F27" s="156">
        <v>1554</v>
      </c>
      <c r="G27" s="150">
        <f t="shared" si="19"/>
        <v>87692.22</v>
      </c>
      <c r="H27" s="33" t="s">
        <v>57</v>
      </c>
      <c r="I27" s="154">
        <v>13</v>
      </c>
      <c r="J27" s="31">
        <v>2000</v>
      </c>
      <c r="K27" s="12">
        <f t="shared" si="1"/>
        <v>153.84615384615384</v>
      </c>
      <c r="L27" s="154">
        <v>13</v>
      </c>
      <c r="M27" s="13">
        <f t="shared" si="20"/>
        <v>1942.5000000000005</v>
      </c>
      <c r="N27" s="12">
        <f t="shared" si="3"/>
        <v>149.42307692307696</v>
      </c>
      <c r="O27" s="14">
        <f t="shared" si="4"/>
        <v>0</v>
      </c>
      <c r="P27" s="15">
        <f t="shared" si="5"/>
        <v>-4.4230769230768772</v>
      </c>
      <c r="Q27" s="149">
        <f t="shared" si="6"/>
        <v>0.97125000000000028</v>
      </c>
      <c r="R27" s="615"/>
      <c r="S27" s="34">
        <v>0.74444444444444446</v>
      </c>
      <c r="T27" s="34">
        <v>0.77777777777777779</v>
      </c>
      <c r="U27" s="150">
        <f t="shared" si="22"/>
        <v>7.9999999999999716</v>
      </c>
      <c r="V27" s="155">
        <f t="shared" si="21"/>
        <v>47.999999999999986</v>
      </c>
      <c r="W27" s="16"/>
      <c r="X27" s="21"/>
      <c r="Y27" s="21"/>
      <c r="Z27" s="21"/>
      <c r="AA27" s="617"/>
      <c r="AB27" s="617"/>
      <c r="AC27" s="35"/>
      <c r="AD27" s="18"/>
      <c r="AE27" s="14">
        <f t="shared" si="8"/>
        <v>-57.499999999999545</v>
      </c>
      <c r="AF27" s="149">
        <f t="shared" si="9"/>
        <v>0.97125000000000028</v>
      </c>
      <c r="AG27" s="615"/>
    </row>
    <row r="28" spans="1:33" ht="15.75" customHeight="1">
      <c r="A28" s="643" t="s">
        <v>9</v>
      </c>
      <c r="B28" s="29" t="s">
        <v>6</v>
      </c>
      <c r="C28" s="618"/>
      <c r="D28" s="618"/>
      <c r="E28" s="151"/>
      <c r="F28" s="156"/>
      <c r="G28" s="150"/>
      <c r="H28" s="156"/>
      <c r="I28" s="23">
        <v>15.333333333333334</v>
      </c>
      <c r="J28" s="31">
        <v>1916.6666666666667</v>
      </c>
      <c r="K28" s="12">
        <f t="shared" si="1"/>
        <v>125</v>
      </c>
      <c r="L28" s="23">
        <v>15.333333333333334</v>
      </c>
      <c r="M28" s="13">
        <f>AVERAGE(M22:M27)</f>
        <v>1838.3242938594242</v>
      </c>
      <c r="N28" s="12">
        <f t="shared" si="3"/>
        <v>119.89071481691896</v>
      </c>
      <c r="O28" s="14">
        <f t="shared" si="4"/>
        <v>0</v>
      </c>
      <c r="P28" s="15">
        <f t="shared" si="5"/>
        <v>-5.1092851830810417</v>
      </c>
      <c r="Q28" s="149">
        <f t="shared" si="6"/>
        <v>0.95912571853535167</v>
      </c>
      <c r="R28" s="615"/>
      <c r="S28" s="34"/>
      <c r="T28" s="34"/>
      <c r="U28" s="12"/>
      <c r="V28" s="155"/>
      <c r="W28" s="12"/>
      <c r="X28" s="12"/>
      <c r="Y28" s="24">
        <f>SUM(Y22:Y27)</f>
        <v>0</v>
      </c>
      <c r="Z28" s="24">
        <f>SUM(Z22:Z27)</f>
        <v>0</v>
      </c>
      <c r="AA28" s="614"/>
      <c r="AB28" s="614"/>
      <c r="AC28" s="24">
        <v>6</v>
      </c>
      <c r="AD28" s="24">
        <f>SUM(AD22:AD27)</f>
        <v>0</v>
      </c>
      <c r="AE28" s="14">
        <f t="shared" si="8"/>
        <v>-78.342372807242555</v>
      </c>
      <c r="AF28" s="149">
        <f t="shared" si="9"/>
        <v>0.95912571853535167</v>
      </c>
      <c r="AG28" s="615"/>
    </row>
    <row r="29" spans="1:33" ht="15.75" customHeight="1">
      <c r="A29" s="641" t="s">
        <v>273</v>
      </c>
      <c r="B29" s="29" t="s">
        <v>32</v>
      </c>
      <c r="C29" s="640" t="s">
        <v>33</v>
      </c>
      <c r="D29" s="640"/>
      <c r="E29" s="29">
        <v>31.29</v>
      </c>
      <c r="F29" s="156">
        <v>5400</v>
      </c>
      <c r="G29" s="150">
        <f t="shared" ref="G29:G34" si="23">E29*F29</f>
        <v>168966</v>
      </c>
      <c r="H29" s="33">
        <v>2</v>
      </c>
      <c r="I29" s="154">
        <v>18</v>
      </c>
      <c r="J29" s="31">
        <v>2400</v>
      </c>
      <c r="K29" s="12">
        <f t="shared" si="1"/>
        <v>133.33333333333334</v>
      </c>
      <c r="L29" s="154">
        <v>18</v>
      </c>
      <c r="M29" s="13">
        <f t="shared" ref="M29:M34" si="24">F29/V29*60</f>
        <v>2297.872340425532</v>
      </c>
      <c r="N29" s="12">
        <f t="shared" si="3"/>
        <v>127.65957446808511</v>
      </c>
      <c r="O29" s="14">
        <f t="shared" si="4"/>
        <v>0</v>
      </c>
      <c r="P29" s="15">
        <f t="shared" si="5"/>
        <v>-5.6737588652482316</v>
      </c>
      <c r="Q29" s="149">
        <f t="shared" si="6"/>
        <v>0.95744680851063824</v>
      </c>
      <c r="R29" s="615">
        <f>Q35</f>
        <v>0.95517631507134637</v>
      </c>
      <c r="S29" s="34">
        <v>8.3333333333333329E-2</v>
      </c>
      <c r="T29" s="34">
        <v>0.18124999999999999</v>
      </c>
      <c r="U29" s="150"/>
      <c r="V29" s="155">
        <f t="shared" ref="V29:V34" si="25">(T29-S29)*24*60</f>
        <v>141</v>
      </c>
      <c r="W29" s="16">
        <f>T29</f>
        <v>0.18124999999999999</v>
      </c>
      <c r="X29" s="16">
        <f>S30</f>
        <v>0.2013888888888889</v>
      </c>
      <c r="Y29" s="16"/>
      <c r="Z29" s="16"/>
      <c r="AA29" s="617"/>
      <c r="AB29" s="617"/>
      <c r="AC29" s="35">
        <v>6</v>
      </c>
      <c r="AD29" s="18"/>
      <c r="AE29" s="14">
        <f t="shared" si="8"/>
        <v>-102.127659574468</v>
      </c>
      <c r="AF29" s="149">
        <f t="shared" si="9"/>
        <v>0.95744680851063835</v>
      </c>
      <c r="AG29" s="615">
        <f>AF35</f>
        <v>0.95517631507134637</v>
      </c>
    </row>
    <row r="30" spans="1:33" ht="15.75" customHeight="1">
      <c r="A30" s="641" t="s">
        <v>10</v>
      </c>
      <c r="B30" s="29" t="s">
        <v>32</v>
      </c>
      <c r="C30" s="640" t="s">
        <v>34</v>
      </c>
      <c r="D30" s="640"/>
      <c r="E30" s="29">
        <v>26.37</v>
      </c>
      <c r="F30" s="156">
        <v>6605</v>
      </c>
      <c r="G30" s="150">
        <f t="shared" si="23"/>
        <v>174173.85</v>
      </c>
      <c r="H30" s="33" t="s">
        <v>57</v>
      </c>
      <c r="I30" s="154">
        <v>18</v>
      </c>
      <c r="J30" s="31">
        <v>2400</v>
      </c>
      <c r="K30" s="12">
        <f t="shared" si="1"/>
        <v>133.33333333333334</v>
      </c>
      <c r="L30" s="154">
        <v>18</v>
      </c>
      <c r="M30" s="13">
        <f t="shared" si="24"/>
        <v>2290.7514450867047</v>
      </c>
      <c r="N30" s="12">
        <f t="shared" si="3"/>
        <v>127.26396917148359</v>
      </c>
      <c r="O30" s="14">
        <f t="shared" si="4"/>
        <v>0</v>
      </c>
      <c r="P30" s="15">
        <f t="shared" si="5"/>
        <v>-6.069364161849748</v>
      </c>
      <c r="Q30" s="149">
        <f t="shared" si="6"/>
        <v>0.95447976878612695</v>
      </c>
      <c r="R30" s="615"/>
      <c r="S30" s="34">
        <v>0.2013888888888889</v>
      </c>
      <c r="T30" s="34">
        <v>0.3215277777777778</v>
      </c>
      <c r="U30" s="150">
        <f t="shared" ref="U30:U34" si="26">(S30-T29)*24*60</f>
        <v>29.000000000000018</v>
      </c>
      <c r="V30" s="155">
        <f t="shared" si="25"/>
        <v>173.00000000000003</v>
      </c>
      <c r="W30" s="16"/>
      <c r="X30" s="16"/>
      <c r="Y30" s="16"/>
      <c r="Z30" s="16"/>
      <c r="AA30" s="617"/>
      <c r="AB30" s="617"/>
      <c r="AC30" s="35"/>
      <c r="AD30" s="18"/>
      <c r="AE30" s="14">
        <f t="shared" si="8"/>
        <v>-109.24855491329527</v>
      </c>
      <c r="AF30" s="149">
        <f t="shared" si="9"/>
        <v>0.95447976878612695</v>
      </c>
      <c r="AG30" s="615"/>
    </row>
    <row r="31" spans="1:33" ht="15.75" customHeight="1">
      <c r="A31" s="641" t="s">
        <v>273</v>
      </c>
      <c r="B31" s="29" t="s">
        <v>32</v>
      </c>
      <c r="C31" s="640" t="s">
        <v>76</v>
      </c>
      <c r="D31" s="640"/>
      <c r="E31" s="29">
        <v>26.18</v>
      </c>
      <c r="F31" s="156">
        <v>4600</v>
      </c>
      <c r="G31" s="150">
        <f t="shared" si="23"/>
        <v>120428</v>
      </c>
      <c r="H31" s="33">
        <v>2</v>
      </c>
      <c r="I31" s="154">
        <v>18</v>
      </c>
      <c r="J31" s="31">
        <v>2400</v>
      </c>
      <c r="K31" s="12">
        <f t="shared" si="1"/>
        <v>133.33333333333334</v>
      </c>
      <c r="L31" s="154">
        <v>18</v>
      </c>
      <c r="M31" s="13">
        <f t="shared" si="24"/>
        <v>2300.0000000000005</v>
      </c>
      <c r="N31" s="12">
        <f t="shared" si="3"/>
        <v>127.7777777777778</v>
      </c>
      <c r="O31" s="14">
        <f t="shared" si="4"/>
        <v>0</v>
      </c>
      <c r="P31" s="15">
        <f t="shared" si="5"/>
        <v>-5.5555555555555429</v>
      </c>
      <c r="Q31" s="149">
        <f t="shared" si="6"/>
        <v>0.95833333333333348</v>
      </c>
      <c r="R31" s="615"/>
      <c r="S31" s="34">
        <v>0.32569444444444445</v>
      </c>
      <c r="T31" s="34">
        <v>0.40902777777777777</v>
      </c>
      <c r="U31" s="150">
        <f t="shared" si="26"/>
        <v>5.9999999999999787</v>
      </c>
      <c r="V31" s="155">
        <f t="shared" si="25"/>
        <v>119.99999999999997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-99.999999999999545</v>
      </c>
      <c r="AF31" s="149">
        <f t="shared" si="9"/>
        <v>0.95833333333333348</v>
      </c>
      <c r="AG31" s="615"/>
    </row>
    <row r="32" spans="1:33" ht="15.75" customHeight="1">
      <c r="A32" s="641" t="s">
        <v>10</v>
      </c>
      <c r="B32" s="29" t="s">
        <v>32</v>
      </c>
      <c r="C32" s="640" t="s">
        <v>35</v>
      </c>
      <c r="D32" s="640"/>
      <c r="E32" s="29">
        <v>25.99</v>
      </c>
      <c r="F32" s="156">
        <v>4184</v>
      </c>
      <c r="G32" s="150">
        <f t="shared" si="23"/>
        <v>108742.15999999999</v>
      </c>
      <c r="H32" s="33" t="s">
        <v>57</v>
      </c>
      <c r="I32" s="154">
        <v>14</v>
      </c>
      <c r="J32" s="31">
        <v>2400</v>
      </c>
      <c r="K32" s="12">
        <f t="shared" si="1"/>
        <v>171.42857142857142</v>
      </c>
      <c r="L32" s="154">
        <v>14</v>
      </c>
      <c r="M32" s="13">
        <f t="shared" si="24"/>
        <v>2282.181818181818</v>
      </c>
      <c r="N32" s="12">
        <f t="shared" si="3"/>
        <v>163.012987012987</v>
      </c>
      <c r="O32" s="14">
        <f t="shared" si="4"/>
        <v>0</v>
      </c>
      <c r="P32" s="15">
        <f t="shared" si="5"/>
        <v>-8.4155844155844193</v>
      </c>
      <c r="Q32" s="149">
        <f t="shared" si="6"/>
        <v>0.95090909090909093</v>
      </c>
      <c r="R32" s="615"/>
      <c r="S32" s="34">
        <v>0.41249999999999998</v>
      </c>
      <c r="T32" s="34">
        <v>0.48888888888888887</v>
      </c>
      <c r="U32" s="150">
        <f t="shared" si="26"/>
        <v>4.9999999999999822</v>
      </c>
      <c r="V32" s="155">
        <f t="shared" si="25"/>
        <v>110.00000000000001</v>
      </c>
      <c r="W32" s="16">
        <f>T32</f>
        <v>0.48888888888888887</v>
      </c>
      <c r="X32" s="16">
        <f>S33</f>
        <v>0.52916666666666667</v>
      </c>
      <c r="Y32" s="16"/>
      <c r="Z32" s="16"/>
      <c r="AA32" s="617"/>
      <c r="AB32" s="617"/>
      <c r="AC32" s="35"/>
      <c r="AD32" s="18"/>
      <c r="AE32" s="14">
        <f t="shared" si="8"/>
        <v>-117.81818181818198</v>
      </c>
      <c r="AF32" s="149">
        <f t="shared" si="9"/>
        <v>0.95090909090909082</v>
      </c>
      <c r="AG32" s="615"/>
    </row>
    <row r="33" spans="1:33" ht="15.75" customHeight="1">
      <c r="A33" s="641" t="s">
        <v>10</v>
      </c>
      <c r="B33" s="29" t="s">
        <v>32</v>
      </c>
      <c r="C33" s="640" t="s">
        <v>33</v>
      </c>
      <c r="D33" s="640"/>
      <c r="E33" s="29">
        <v>31.29</v>
      </c>
      <c r="F33" s="156">
        <v>3814</v>
      </c>
      <c r="G33" s="150">
        <f t="shared" si="23"/>
        <v>119340.06</v>
      </c>
      <c r="H33" s="33" t="s">
        <v>57</v>
      </c>
      <c r="I33" s="154">
        <v>18</v>
      </c>
      <c r="J33" s="31">
        <v>2400</v>
      </c>
      <c r="K33" s="12">
        <f t="shared" si="1"/>
        <v>133.33333333333334</v>
      </c>
      <c r="L33" s="154">
        <v>18</v>
      </c>
      <c r="M33" s="13">
        <f t="shared" si="24"/>
        <v>2288.4000000000005</v>
      </c>
      <c r="N33" s="12">
        <f t="shared" si="3"/>
        <v>127.13333333333337</v>
      </c>
      <c r="O33" s="14">
        <f t="shared" si="4"/>
        <v>0</v>
      </c>
      <c r="P33" s="15">
        <f t="shared" si="5"/>
        <v>-6.1999999999999744</v>
      </c>
      <c r="Q33" s="149">
        <f t="shared" si="6"/>
        <v>0.95350000000000024</v>
      </c>
      <c r="R33" s="615"/>
      <c r="S33" s="34">
        <v>0.52916666666666667</v>
      </c>
      <c r="T33" s="34">
        <v>0.59861111111111109</v>
      </c>
      <c r="U33" s="150">
        <f t="shared" si="26"/>
        <v>58.000000000000036</v>
      </c>
      <c r="V33" s="155">
        <f t="shared" si="25"/>
        <v>99.999999999999972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-111.59999999999945</v>
      </c>
      <c r="AF33" s="149">
        <f t="shared" si="9"/>
        <v>0.95350000000000024</v>
      </c>
      <c r="AG33" s="615"/>
    </row>
    <row r="34" spans="1:33" ht="15.75" customHeight="1">
      <c r="A34" s="641" t="s">
        <v>273</v>
      </c>
      <c r="B34" s="29" t="s">
        <v>32</v>
      </c>
      <c r="C34" s="640" t="s">
        <v>76</v>
      </c>
      <c r="D34" s="640"/>
      <c r="E34" s="29">
        <v>26.18</v>
      </c>
      <c r="F34" s="156">
        <v>3443</v>
      </c>
      <c r="G34" s="150">
        <f t="shared" si="23"/>
        <v>90137.74</v>
      </c>
      <c r="H34" s="33" t="s">
        <v>57</v>
      </c>
      <c r="I34" s="154">
        <v>18</v>
      </c>
      <c r="J34" s="31">
        <v>2400</v>
      </c>
      <c r="K34" s="12">
        <f t="shared" si="1"/>
        <v>133.33333333333334</v>
      </c>
      <c r="L34" s="154">
        <v>18</v>
      </c>
      <c r="M34" s="13">
        <f t="shared" si="24"/>
        <v>2295.333333333333</v>
      </c>
      <c r="N34" s="12">
        <f t="shared" si="3"/>
        <v>127.5185185185185</v>
      </c>
      <c r="O34" s="14">
        <f t="shared" si="4"/>
        <v>0</v>
      </c>
      <c r="P34" s="15">
        <f t="shared" si="5"/>
        <v>-5.814814814814838</v>
      </c>
      <c r="Q34" s="149">
        <f t="shared" si="6"/>
        <v>0.95638888888888873</v>
      </c>
      <c r="R34" s="615"/>
      <c r="S34" s="34">
        <v>0.60347222222222219</v>
      </c>
      <c r="T34" s="34">
        <v>0.66597222222222219</v>
      </c>
      <c r="U34" s="150">
        <f t="shared" si="26"/>
        <v>6.9999999999999751</v>
      </c>
      <c r="V34" s="155">
        <f t="shared" si="25"/>
        <v>90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-104.66666666666697</v>
      </c>
      <c r="AF34" s="149">
        <f t="shared" si="9"/>
        <v>0.95638888888888873</v>
      </c>
      <c r="AG34" s="615"/>
    </row>
    <row r="35" spans="1:33" ht="15.75" customHeight="1">
      <c r="A35" s="641" t="s">
        <v>273</v>
      </c>
      <c r="B35" s="29" t="s">
        <v>449</v>
      </c>
      <c r="C35" s="618"/>
      <c r="D35" s="618"/>
      <c r="E35" s="151"/>
      <c r="F35" s="156"/>
      <c r="G35" s="150"/>
      <c r="H35" s="156"/>
      <c r="I35" s="23">
        <v>17.333333333333332</v>
      </c>
      <c r="J35" s="31">
        <v>2400</v>
      </c>
      <c r="K35" s="12">
        <f t="shared" si="1"/>
        <v>138.46153846153848</v>
      </c>
      <c r="L35" s="23">
        <v>17.333333333333332</v>
      </c>
      <c r="M35" s="13">
        <f>AVERAGE(M29:M34)</f>
        <v>2292.4231561712313</v>
      </c>
      <c r="N35" s="12">
        <f t="shared" si="3"/>
        <v>132.25518208680182</v>
      </c>
      <c r="O35" s="14">
        <f t="shared" si="4"/>
        <v>0</v>
      </c>
      <c r="P35" s="15">
        <f t="shared" si="5"/>
        <v>-6.2063563747366572</v>
      </c>
      <c r="Q35" s="149">
        <f t="shared" si="6"/>
        <v>0.95517631507134637</v>
      </c>
      <c r="R35" s="615"/>
      <c r="S35" s="34"/>
      <c r="T35" s="34"/>
      <c r="U35" s="150"/>
      <c r="V35" s="155"/>
      <c r="W35" s="150"/>
      <c r="X35" s="150"/>
      <c r="Y35" s="24">
        <f>SUM(Y29:Y34)</f>
        <v>0</v>
      </c>
      <c r="Z35" s="24">
        <f>SUM(Z29:Z34)</f>
        <v>0</v>
      </c>
      <c r="AA35" s="614"/>
      <c r="AB35" s="614"/>
      <c r="AC35" s="24">
        <v>6</v>
      </c>
      <c r="AD35" s="24">
        <f>SUM(AD29:AD34)</f>
        <v>0</v>
      </c>
      <c r="AE35" s="14">
        <f t="shared" si="8"/>
        <v>-107.57684382876869</v>
      </c>
      <c r="AF35" s="149">
        <f t="shared" si="9"/>
        <v>0.95517631507134637</v>
      </c>
      <c r="AG35" s="615"/>
    </row>
    <row r="36" spans="1:33" ht="15.75" customHeight="1">
      <c r="A36" s="638" t="s">
        <v>452</v>
      </c>
      <c r="B36" s="29" t="s">
        <v>32</v>
      </c>
      <c r="C36" s="616" t="s">
        <v>77</v>
      </c>
      <c r="D36" s="616"/>
      <c r="E36" s="29">
        <v>26.18</v>
      </c>
      <c r="F36" s="156">
        <v>6410</v>
      </c>
      <c r="G36" s="150">
        <f t="shared" ref="G36:G42" si="27">E36*F36</f>
        <v>167813.8</v>
      </c>
      <c r="H36" s="33" t="s">
        <v>57</v>
      </c>
      <c r="I36" s="154">
        <v>20</v>
      </c>
      <c r="J36" s="31">
        <v>2400</v>
      </c>
      <c r="K36" s="12">
        <f t="shared" si="1"/>
        <v>120</v>
      </c>
      <c r="L36" s="154">
        <v>20</v>
      </c>
      <c r="M36" s="13">
        <f t="shared" ref="M36:M42" si="28">F36/V36*60</f>
        <v>2289.2857142857142</v>
      </c>
      <c r="N36" s="12">
        <f t="shared" si="3"/>
        <v>114.46428571428571</v>
      </c>
      <c r="O36" s="14">
        <f t="shared" si="4"/>
        <v>0</v>
      </c>
      <c r="P36" s="15">
        <f t="shared" si="5"/>
        <v>-5.5357142857142918</v>
      </c>
      <c r="Q36" s="149">
        <f t="shared" si="6"/>
        <v>0.95386904761904756</v>
      </c>
      <c r="R36" s="615">
        <f>Q43</f>
        <v>0.95820753358084798</v>
      </c>
      <c r="S36" s="34">
        <v>8.3333333333333329E-2</v>
      </c>
      <c r="T36" s="34">
        <v>0.19999999999999998</v>
      </c>
      <c r="U36" s="150"/>
      <c r="V36" s="155">
        <f t="shared" ref="V36:V42" si="29">(T36-S36)*24*60</f>
        <v>168</v>
      </c>
      <c r="W36" s="21">
        <f>T36</f>
        <v>0.19999999999999998</v>
      </c>
      <c r="X36" s="21">
        <f>S37</f>
        <v>0.21805555555555553</v>
      </c>
      <c r="Y36" s="21"/>
      <c r="Z36" s="21"/>
      <c r="AA36" s="617"/>
      <c r="AB36" s="617"/>
      <c r="AC36" s="35">
        <v>7</v>
      </c>
      <c r="AD36" s="18"/>
      <c r="AE36" s="14">
        <f t="shared" si="8"/>
        <v>-110.71428571428578</v>
      </c>
      <c r="AF36" s="149">
        <f t="shared" si="9"/>
        <v>0.95386904761904756</v>
      </c>
      <c r="AG36" s="615">
        <f>AF43</f>
        <v>0.95820753358084798</v>
      </c>
    </row>
    <row r="37" spans="1:33" ht="15.75" customHeight="1">
      <c r="A37" s="638" t="s">
        <v>452</v>
      </c>
      <c r="B37" s="29" t="s">
        <v>32</v>
      </c>
      <c r="C37" s="616" t="s">
        <v>37</v>
      </c>
      <c r="D37" s="616"/>
      <c r="E37" s="29">
        <v>24.43</v>
      </c>
      <c r="F37" s="156">
        <v>3800</v>
      </c>
      <c r="G37" s="150">
        <f t="shared" si="27"/>
        <v>92834</v>
      </c>
      <c r="H37" s="33">
        <v>2</v>
      </c>
      <c r="I37" s="154">
        <v>14</v>
      </c>
      <c r="J37" s="31">
        <v>2400</v>
      </c>
      <c r="K37" s="12">
        <f t="shared" si="1"/>
        <v>171.42857142857142</v>
      </c>
      <c r="L37" s="154">
        <v>14</v>
      </c>
      <c r="M37" s="13">
        <f t="shared" si="28"/>
        <v>2303.030303030303</v>
      </c>
      <c r="N37" s="12">
        <f t="shared" si="3"/>
        <v>164.5021645021645</v>
      </c>
      <c r="O37" s="14">
        <f t="shared" si="4"/>
        <v>0</v>
      </c>
      <c r="P37" s="15">
        <f t="shared" si="5"/>
        <v>-6.9264069264069121</v>
      </c>
      <c r="Q37" s="149">
        <f t="shared" si="6"/>
        <v>0.95959595959595967</v>
      </c>
      <c r="R37" s="615"/>
      <c r="S37" s="34">
        <v>0.21805555555555553</v>
      </c>
      <c r="T37" s="34">
        <v>0.28680555555555554</v>
      </c>
      <c r="U37" s="150">
        <f t="shared" ref="U37:U42" si="30">(S37-T36)*24*60</f>
        <v>25.999999999999986</v>
      </c>
      <c r="V37" s="155">
        <f t="shared" si="29"/>
        <v>99.000000000000014</v>
      </c>
      <c r="W37" s="150"/>
      <c r="X37" s="150"/>
      <c r="Y37" s="150"/>
      <c r="Z37" s="150"/>
      <c r="AA37" s="617"/>
      <c r="AB37" s="617"/>
      <c r="AC37" s="35"/>
      <c r="AD37" s="18"/>
      <c r="AE37" s="14">
        <f t="shared" si="8"/>
        <v>-96.969696969696997</v>
      </c>
      <c r="AF37" s="149">
        <f t="shared" si="9"/>
        <v>0.95959595959595956</v>
      </c>
      <c r="AG37" s="615"/>
    </row>
    <row r="38" spans="1:33">
      <c r="A38" s="639" t="s">
        <v>452</v>
      </c>
      <c r="B38" s="29" t="s">
        <v>32</v>
      </c>
      <c r="C38" s="616" t="s">
        <v>38</v>
      </c>
      <c r="D38" s="616"/>
      <c r="E38" s="29">
        <v>25.98</v>
      </c>
      <c r="F38" s="156">
        <v>3141</v>
      </c>
      <c r="G38" s="150">
        <f t="shared" si="27"/>
        <v>81603.180000000008</v>
      </c>
      <c r="H38" s="33" t="s">
        <v>57</v>
      </c>
      <c r="I38" s="154">
        <v>21</v>
      </c>
      <c r="J38" s="31">
        <v>2400</v>
      </c>
      <c r="K38" s="12">
        <f t="shared" si="1"/>
        <v>114.28571428571429</v>
      </c>
      <c r="L38" s="154">
        <v>21</v>
      </c>
      <c r="M38" s="13">
        <f t="shared" si="28"/>
        <v>2298.2926829268285</v>
      </c>
      <c r="N38" s="12">
        <f t="shared" si="3"/>
        <v>109.44250871080136</v>
      </c>
      <c r="O38" s="14">
        <f t="shared" si="4"/>
        <v>0</v>
      </c>
      <c r="P38" s="15">
        <f t="shared" si="5"/>
        <v>-4.843205574912929</v>
      </c>
      <c r="Q38" s="149">
        <f t="shared" si="6"/>
        <v>0.95762195121951188</v>
      </c>
      <c r="R38" s="615"/>
      <c r="S38" s="34">
        <v>0.29027777777777775</v>
      </c>
      <c r="T38" s="34">
        <v>0.34722222222222221</v>
      </c>
      <c r="U38" s="150">
        <f t="shared" si="30"/>
        <v>4.9999999999999822</v>
      </c>
      <c r="V38" s="155">
        <f t="shared" si="29"/>
        <v>82.000000000000028</v>
      </c>
      <c r="W38" s="150"/>
      <c r="X38" s="150"/>
      <c r="Y38" s="150"/>
      <c r="Z38" s="150"/>
      <c r="AA38" s="617"/>
      <c r="AB38" s="617"/>
      <c r="AC38" s="35"/>
      <c r="AD38" s="18"/>
      <c r="AE38" s="14">
        <f t="shared" si="8"/>
        <v>-101.70731707317145</v>
      </c>
      <c r="AF38" s="149">
        <f t="shared" si="9"/>
        <v>0.95762195121951188</v>
      </c>
      <c r="AG38" s="615"/>
    </row>
    <row r="39" spans="1:33">
      <c r="A39" s="639" t="s">
        <v>452</v>
      </c>
      <c r="B39" s="29" t="s">
        <v>32</v>
      </c>
      <c r="C39" s="616" t="s">
        <v>79</v>
      </c>
      <c r="D39" s="616"/>
      <c r="E39" s="29">
        <v>25.99</v>
      </c>
      <c r="F39" s="156">
        <v>2847</v>
      </c>
      <c r="G39" s="150">
        <f t="shared" si="27"/>
        <v>73993.53</v>
      </c>
      <c r="H39" s="33" t="s">
        <v>57</v>
      </c>
      <c r="I39" s="154">
        <v>18</v>
      </c>
      <c r="J39" s="31">
        <v>2400</v>
      </c>
      <c r="K39" s="12">
        <f t="shared" si="1"/>
        <v>133.33333333333334</v>
      </c>
      <c r="L39" s="154">
        <v>18</v>
      </c>
      <c r="M39" s="13">
        <f t="shared" si="28"/>
        <v>2308.3783783783792</v>
      </c>
      <c r="N39" s="12">
        <f t="shared" si="3"/>
        <v>128.24324324324328</v>
      </c>
      <c r="O39" s="14">
        <f t="shared" si="4"/>
        <v>0</v>
      </c>
      <c r="P39" s="15">
        <f t="shared" si="5"/>
        <v>-5.0900900900900581</v>
      </c>
      <c r="Q39" s="149">
        <f t="shared" si="6"/>
        <v>0.96182432432432452</v>
      </c>
      <c r="R39" s="615"/>
      <c r="S39" s="34">
        <v>0.35138888888888886</v>
      </c>
      <c r="T39" s="34">
        <v>0.40277777777777773</v>
      </c>
      <c r="U39" s="150">
        <f t="shared" si="30"/>
        <v>5.9999999999999787</v>
      </c>
      <c r="V39" s="155">
        <f t="shared" si="29"/>
        <v>73.999999999999972</v>
      </c>
      <c r="W39" s="16"/>
      <c r="X39" s="16"/>
      <c r="Y39" s="16"/>
      <c r="Z39" s="16"/>
      <c r="AA39" s="617"/>
      <c r="AB39" s="617"/>
      <c r="AC39" s="35"/>
      <c r="AD39" s="18"/>
      <c r="AE39" s="14">
        <f t="shared" si="8"/>
        <v>-91.621621621620761</v>
      </c>
      <c r="AF39" s="149">
        <f t="shared" si="9"/>
        <v>0.96182432432432463</v>
      </c>
      <c r="AG39" s="615"/>
    </row>
    <row r="40" spans="1:33">
      <c r="A40" s="639" t="s">
        <v>452</v>
      </c>
      <c r="B40" s="29" t="s">
        <v>32</v>
      </c>
      <c r="C40" s="616" t="s">
        <v>39</v>
      </c>
      <c r="D40" s="616"/>
      <c r="E40" s="29">
        <v>34.1</v>
      </c>
      <c r="F40" s="156">
        <v>2700</v>
      </c>
      <c r="G40" s="150">
        <f t="shared" si="27"/>
        <v>92070</v>
      </c>
      <c r="H40" s="33">
        <v>2</v>
      </c>
      <c r="I40" s="154">
        <v>17</v>
      </c>
      <c r="J40" s="31">
        <v>1600</v>
      </c>
      <c r="K40" s="12">
        <f t="shared" si="1"/>
        <v>94.117647058823536</v>
      </c>
      <c r="L40" s="154">
        <v>17</v>
      </c>
      <c r="M40" s="13">
        <f t="shared" si="28"/>
        <v>1528.3018867924525</v>
      </c>
      <c r="N40" s="12">
        <f t="shared" si="3"/>
        <v>89.900110987791322</v>
      </c>
      <c r="O40" s="14">
        <f t="shared" si="4"/>
        <v>0</v>
      </c>
      <c r="P40" s="15">
        <f t="shared" si="5"/>
        <v>-4.2175360710322138</v>
      </c>
      <c r="Q40" s="149">
        <f t="shared" si="6"/>
        <v>0.95518867924528272</v>
      </c>
      <c r="R40" s="615"/>
      <c r="S40" s="34">
        <v>0.40694444444444439</v>
      </c>
      <c r="T40" s="34">
        <v>0.48055555555555551</v>
      </c>
      <c r="U40" s="150">
        <f t="shared" si="30"/>
        <v>5.9999999999999787</v>
      </c>
      <c r="V40" s="155">
        <f t="shared" si="29"/>
        <v>106.00000000000003</v>
      </c>
      <c r="W40" s="16">
        <f>T40</f>
        <v>0.48055555555555551</v>
      </c>
      <c r="X40" s="16">
        <f>S41</f>
        <v>0.52013888888888882</v>
      </c>
      <c r="Y40" s="16"/>
      <c r="Z40" s="16"/>
      <c r="AA40" s="617"/>
      <c r="AB40" s="617"/>
      <c r="AC40" s="35"/>
      <c r="AD40" s="18"/>
      <c r="AE40" s="14">
        <f t="shared" si="8"/>
        <v>-71.698113207547522</v>
      </c>
      <c r="AF40" s="149">
        <f t="shared" si="9"/>
        <v>0.95518867924528283</v>
      </c>
      <c r="AG40" s="615"/>
    </row>
    <row r="41" spans="1:33">
      <c r="A41" s="639" t="s">
        <v>452</v>
      </c>
      <c r="B41" s="29" t="s">
        <v>32</v>
      </c>
      <c r="C41" s="616" t="s">
        <v>39</v>
      </c>
      <c r="D41" s="616"/>
      <c r="E41" s="29">
        <v>34.1</v>
      </c>
      <c r="F41" s="156">
        <v>3838</v>
      </c>
      <c r="G41" s="150">
        <f t="shared" si="27"/>
        <v>130875.8</v>
      </c>
      <c r="H41" s="33" t="s">
        <v>57</v>
      </c>
      <c r="I41" s="154">
        <v>17</v>
      </c>
      <c r="J41" s="31">
        <v>1600</v>
      </c>
      <c r="K41" s="12">
        <f t="shared" si="1"/>
        <v>94.117647058823536</v>
      </c>
      <c r="L41" s="154">
        <v>17</v>
      </c>
      <c r="M41" s="13">
        <f t="shared" si="28"/>
        <v>1525.033112582782</v>
      </c>
      <c r="N41" s="12">
        <f t="shared" si="3"/>
        <v>89.707830151928349</v>
      </c>
      <c r="O41" s="14">
        <f t="shared" si="4"/>
        <v>0</v>
      </c>
      <c r="P41" s="15">
        <f t="shared" si="5"/>
        <v>-4.4098169068951876</v>
      </c>
      <c r="Q41" s="149">
        <f t="shared" si="6"/>
        <v>0.95314569536423865</v>
      </c>
      <c r="R41" s="615"/>
      <c r="S41" s="34">
        <v>0.52013888888888882</v>
      </c>
      <c r="T41" s="34">
        <v>0.62499999999999989</v>
      </c>
      <c r="U41" s="150">
        <f t="shared" si="30"/>
        <v>56.999999999999957</v>
      </c>
      <c r="V41" s="155">
        <f t="shared" si="29"/>
        <v>150.99999999999994</v>
      </c>
      <c r="W41" s="16"/>
      <c r="X41" s="16"/>
      <c r="Y41" s="16"/>
      <c r="Z41" s="16"/>
      <c r="AA41" s="617"/>
      <c r="AB41" s="617"/>
      <c r="AC41" s="35"/>
      <c r="AD41" s="18"/>
      <c r="AE41" s="14">
        <f t="shared" si="8"/>
        <v>-74.966887417218004</v>
      </c>
      <c r="AF41" s="149">
        <f t="shared" si="9"/>
        <v>0.95314569536423877</v>
      </c>
      <c r="AG41" s="615"/>
    </row>
    <row r="42" spans="1:33">
      <c r="A42" s="639" t="s">
        <v>11</v>
      </c>
      <c r="B42" s="29" t="s">
        <v>32</v>
      </c>
      <c r="C42" s="616" t="s">
        <v>37</v>
      </c>
      <c r="D42" s="616"/>
      <c r="E42" s="29">
        <v>24.43</v>
      </c>
      <c r="F42" s="156">
        <v>2852</v>
      </c>
      <c r="G42" s="150">
        <f t="shared" si="27"/>
        <v>69674.36</v>
      </c>
      <c r="H42" s="33" t="s">
        <v>57</v>
      </c>
      <c r="I42" s="154">
        <v>14</v>
      </c>
      <c r="J42" s="31">
        <v>2400</v>
      </c>
      <c r="K42" s="12">
        <f t="shared" si="1"/>
        <v>171.42857142857142</v>
      </c>
      <c r="L42" s="154">
        <v>14</v>
      </c>
      <c r="M42" s="13">
        <f t="shared" si="28"/>
        <v>2312.4324324324307</v>
      </c>
      <c r="N42" s="12">
        <f t="shared" si="3"/>
        <v>165.17374517374506</v>
      </c>
      <c r="O42" s="14">
        <f t="shared" si="4"/>
        <v>0</v>
      </c>
      <c r="P42" s="15">
        <f t="shared" si="5"/>
        <v>-6.2548262548263551</v>
      </c>
      <c r="Q42" s="149">
        <f t="shared" si="6"/>
        <v>0.96351351351351289</v>
      </c>
      <c r="R42" s="615"/>
      <c r="S42" s="34">
        <v>0.6284722222222221</v>
      </c>
      <c r="T42" s="34">
        <v>0.67986111111111103</v>
      </c>
      <c r="U42" s="150">
        <f t="shared" si="30"/>
        <v>4.9999999999999822</v>
      </c>
      <c r="V42" s="155">
        <f t="shared" si="29"/>
        <v>74.000000000000057</v>
      </c>
      <c r="W42" s="16"/>
      <c r="X42" s="16"/>
      <c r="Y42" s="19"/>
      <c r="Z42" s="19"/>
      <c r="AA42" s="624"/>
      <c r="AB42" s="625"/>
      <c r="AC42" s="35"/>
      <c r="AD42" s="18"/>
      <c r="AE42" s="14">
        <f t="shared" si="8"/>
        <v>-87.567567567569313</v>
      </c>
      <c r="AF42" s="149">
        <f t="shared" si="9"/>
        <v>0.96351351351351278</v>
      </c>
      <c r="AG42" s="615"/>
    </row>
    <row r="43" spans="1:33">
      <c r="A43" s="639" t="s">
        <v>11</v>
      </c>
      <c r="B43" s="30" t="s">
        <v>6</v>
      </c>
      <c r="C43" s="618"/>
      <c r="D43" s="618"/>
      <c r="E43" s="151"/>
      <c r="F43" s="30"/>
      <c r="G43" s="12"/>
      <c r="H43" s="156"/>
      <c r="I43" s="23">
        <v>17.285714285714285</v>
      </c>
      <c r="J43" s="31">
        <v>2171.4285714285716</v>
      </c>
      <c r="K43" s="12">
        <f t="shared" si="1"/>
        <v>125.61983471074382</v>
      </c>
      <c r="L43" s="23">
        <v>17.285714285714285</v>
      </c>
      <c r="M43" s="13">
        <f>AVERAGE(M36:M42)</f>
        <v>2080.6792157755558</v>
      </c>
      <c r="N43" s="12">
        <f t="shared" si="3"/>
        <v>120.36987198701563</v>
      </c>
      <c r="O43" s="14">
        <f t="shared" si="4"/>
        <v>0</v>
      </c>
      <c r="P43" s="15">
        <f t="shared" si="5"/>
        <v>-5.2499627237281885</v>
      </c>
      <c r="Q43" s="149">
        <f t="shared" si="6"/>
        <v>0.95820753358084798</v>
      </c>
      <c r="R43" s="615"/>
      <c r="S43" s="34"/>
      <c r="T43" s="34"/>
      <c r="U43" s="12"/>
      <c r="V43" s="155"/>
      <c r="W43" s="12"/>
      <c r="X43" s="12"/>
      <c r="Y43" s="24">
        <f>SUM(Y36:Y42)</f>
        <v>0</v>
      </c>
      <c r="Z43" s="24">
        <f>SUM(Z36:Z42)</f>
        <v>0</v>
      </c>
      <c r="AA43" s="614"/>
      <c r="AB43" s="614"/>
      <c r="AC43" s="24">
        <v>7</v>
      </c>
      <c r="AD43" s="24">
        <f>SUM(AD36:AD42)</f>
        <v>0</v>
      </c>
      <c r="AE43" s="14">
        <f t="shared" si="8"/>
        <v>-90.749355653015755</v>
      </c>
      <c r="AF43" s="149">
        <f t="shared" si="9"/>
        <v>0.95820753358084798</v>
      </c>
      <c r="AG43" s="615"/>
    </row>
    <row r="44" spans="1:33" ht="15.75" customHeight="1">
      <c r="A44" s="632" t="s">
        <v>453</v>
      </c>
      <c r="B44" s="29" t="s">
        <v>40</v>
      </c>
      <c r="C44" s="622" t="s">
        <v>41</v>
      </c>
      <c r="D44" s="623"/>
      <c r="E44" s="29">
        <v>37.880000000000003</v>
      </c>
      <c r="F44" s="156">
        <v>1005</v>
      </c>
      <c r="G44" s="150">
        <f t="shared" ref="G44:G47" si="31">E44*F44</f>
        <v>38069.4</v>
      </c>
      <c r="H44" s="33" t="s">
        <v>57</v>
      </c>
      <c r="I44" s="154">
        <v>13</v>
      </c>
      <c r="J44" s="31">
        <v>2000</v>
      </c>
      <c r="K44" s="12">
        <f t="shared" si="1"/>
        <v>153.84615384615384</v>
      </c>
      <c r="L44" s="154">
        <v>13</v>
      </c>
      <c r="M44" s="13">
        <f t="shared" ref="M44:M47" si="32">F44/V44*60</f>
        <v>1945.16129032258</v>
      </c>
      <c r="N44" s="13">
        <f t="shared" si="3"/>
        <v>149.62779156327539</v>
      </c>
      <c r="O44" s="14">
        <f t="shared" si="4"/>
        <v>0</v>
      </c>
      <c r="P44" s="15">
        <f t="shared" si="5"/>
        <v>-4.2183622828784451</v>
      </c>
      <c r="Q44" s="149">
        <f t="shared" si="6"/>
        <v>0.97258064516129006</v>
      </c>
      <c r="R44" s="635">
        <f>Q48</f>
        <v>0.95841431120819665</v>
      </c>
      <c r="S44" s="34">
        <v>8.3333333333333329E-2</v>
      </c>
      <c r="T44" s="34">
        <v>0.10486111111111111</v>
      </c>
      <c r="U44" s="21"/>
      <c r="V44" s="155">
        <f t="shared" ref="V44:V47" si="33">(T44-S44)*24*60</f>
        <v>31.000000000000011</v>
      </c>
      <c r="W44" s="16">
        <f>T44</f>
        <v>0.10486111111111111</v>
      </c>
      <c r="X44" s="16">
        <f>S45</f>
        <v>0.12430555555555556</v>
      </c>
      <c r="Y44" s="19"/>
      <c r="Z44" s="19"/>
      <c r="AA44" s="624"/>
      <c r="AB44" s="625"/>
      <c r="AC44" s="35">
        <v>4</v>
      </c>
      <c r="AD44" s="18"/>
      <c r="AE44" s="14">
        <f t="shared" si="8"/>
        <v>-54.838709677419956</v>
      </c>
      <c r="AF44" s="149">
        <f t="shared" si="9"/>
        <v>0.97258064516129006</v>
      </c>
      <c r="AG44" s="635">
        <f>AF48</f>
        <v>0.95841431120819665</v>
      </c>
    </row>
    <row r="45" spans="1:33" ht="15.75" customHeight="1">
      <c r="A45" s="633" t="s">
        <v>454</v>
      </c>
      <c r="B45" s="29" t="s">
        <v>40</v>
      </c>
      <c r="C45" s="622" t="s">
        <v>42</v>
      </c>
      <c r="D45" s="623"/>
      <c r="E45" s="29">
        <v>35.119999999999997</v>
      </c>
      <c r="F45" s="156">
        <v>4892</v>
      </c>
      <c r="G45" s="150">
        <f t="shared" si="31"/>
        <v>171807.03999999998</v>
      </c>
      <c r="H45" s="33" t="s">
        <v>57</v>
      </c>
      <c r="I45" s="154">
        <v>10</v>
      </c>
      <c r="J45" s="31">
        <v>3000</v>
      </c>
      <c r="K45" s="12">
        <f t="shared" si="1"/>
        <v>300</v>
      </c>
      <c r="L45" s="154">
        <v>10</v>
      </c>
      <c r="M45" s="13">
        <f t="shared" si="32"/>
        <v>2877.6470588235293</v>
      </c>
      <c r="N45" s="13">
        <f t="shared" si="3"/>
        <v>287.76470588235293</v>
      </c>
      <c r="O45" s="14">
        <f t="shared" si="4"/>
        <v>0</v>
      </c>
      <c r="P45" s="15">
        <f t="shared" si="5"/>
        <v>-12.235294117647072</v>
      </c>
      <c r="Q45" s="149">
        <f t="shared" si="6"/>
        <v>0.9592156862745097</v>
      </c>
      <c r="R45" s="636"/>
      <c r="S45" s="34">
        <v>0.12430555555555556</v>
      </c>
      <c r="T45" s="34">
        <v>0.19513888888888889</v>
      </c>
      <c r="U45" s="150">
        <f t="shared" ref="U45:U47" si="34">(S45-T44)*24*60</f>
        <v>28</v>
      </c>
      <c r="V45" s="155">
        <f t="shared" si="33"/>
        <v>102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-122.35294117647072</v>
      </c>
      <c r="AF45" s="149">
        <f t="shared" si="9"/>
        <v>0.9592156862745097</v>
      </c>
      <c r="AG45" s="636"/>
    </row>
    <row r="46" spans="1:33" ht="15.75" customHeight="1">
      <c r="A46" s="633" t="s">
        <v>454</v>
      </c>
      <c r="B46" s="29" t="s">
        <v>40</v>
      </c>
      <c r="C46" s="622" t="s">
        <v>43</v>
      </c>
      <c r="D46" s="623"/>
      <c r="E46" s="29">
        <v>21.13</v>
      </c>
      <c r="F46" s="156">
        <v>4808</v>
      </c>
      <c r="G46" s="150">
        <f t="shared" si="31"/>
        <v>101593.04</v>
      </c>
      <c r="H46" s="33" t="s">
        <v>57</v>
      </c>
      <c r="I46" s="154">
        <v>10</v>
      </c>
      <c r="J46" s="31">
        <v>3000</v>
      </c>
      <c r="K46" s="12">
        <f t="shared" si="1"/>
        <v>300</v>
      </c>
      <c r="L46" s="154">
        <v>10</v>
      </c>
      <c r="M46" s="13">
        <f t="shared" si="32"/>
        <v>2856.2376237623748</v>
      </c>
      <c r="N46" s="13">
        <f t="shared" si="3"/>
        <v>285.62376237623749</v>
      </c>
      <c r="O46" s="14">
        <f t="shared" si="4"/>
        <v>0</v>
      </c>
      <c r="P46" s="15">
        <f t="shared" si="5"/>
        <v>-14.376237623762506</v>
      </c>
      <c r="Q46" s="149">
        <f t="shared" si="6"/>
        <v>0.95207920792079159</v>
      </c>
      <c r="R46" s="636"/>
      <c r="S46" s="34">
        <v>0.20069444444444445</v>
      </c>
      <c r="T46" s="34">
        <v>0.27083333333333337</v>
      </c>
      <c r="U46" s="150">
        <f t="shared" si="34"/>
        <v>8.0000000000000107</v>
      </c>
      <c r="V46" s="155">
        <f t="shared" si="33"/>
        <v>101.00000000000004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-143.76237623762518</v>
      </c>
      <c r="AF46" s="149">
        <f t="shared" si="9"/>
        <v>0.95207920792079159</v>
      </c>
      <c r="AG46" s="636"/>
    </row>
    <row r="47" spans="1:33" ht="15.75" customHeight="1">
      <c r="A47" s="633" t="s">
        <v>454</v>
      </c>
      <c r="B47" s="29" t="s">
        <v>40</v>
      </c>
      <c r="C47" s="622" t="s">
        <v>44</v>
      </c>
      <c r="D47" s="623"/>
      <c r="E47" s="29">
        <v>27.17</v>
      </c>
      <c r="F47" s="156">
        <v>6252</v>
      </c>
      <c r="G47" s="150">
        <f t="shared" si="31"/>
        <v>169866.84</v>
      </c>
      <c r="H47" s="33" t="s">
        <v>57</v>
      </c>
      <c r="I47" s="154">
        <v>10</v>
      </c>
      <c r="J47" s="31">
        <v>3000</v>
      </c>
      <c r="K47" s="12">
        <f t="shared" si="1"/>
        <v>300</v>
      </c>
      <c r="L47" s="154">
        <v>10</v>
      </c>
      <c r="M47" s="13">
        <f t="shared" si="32"/>
        <v>2863.5114503816794</v>
      </c>
      <c r="N47" s="13">
        <f t="shared" si="3"/>
        <v>286.35114503816794</v>
      </c>
      <c r="O47" s="14">
        <f t="shared" si="4"/>
        <v>0</v>
      </c>
      <c r="P47" s="15">
        <f t="shared" si="5"/>
        <v>-13.648854961832058</v>
      </c>
      <c r="Q47" s="149">
        <f t="shared" si="6"/>
        <v>0.95450381679389318</v>
      </c>
      <c r="R47" s="636"/>
      <c r="S47" s="34">
        <v>0.27569444444444446</v>
      </c>
      <c r="T47" s="34">
        <v>0.3666666666666667</v>
      </c>
      <c r="U47" s="150">
        <f t="shared" si="34"/>
        <v>6.9999999999999751</v>
      </c>
      <c r="V47" s="155">
        <f t="shared" si="33"/>
        <v>131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-136.48854961832058</v>
      </c>
      <c r="AF47" s="149">
        <f t="shared" si="9"/>
        <v>0.95450381679389318</v>
      </c>
      <c r="AG47" s="636"/>
    </row>
    <row r="48" spans="1:33" ht="15.75" customHeight="1">
      <c r="A48" s="634" t="s">
        <v>454</v>
      </c>
      <c r="B48" s="29" t="s">
        <v>455</v>
      </c>
      <c r="C48" s="612"/>
      <c r="D48" s="613"/>
      <c r="E48" s="147"/>
      <c r="F48" s="156"/>
      <c r="G48" s="150"/>
      <c r="H48" s="156"/>
      <c r="I48" s="23">
        <v>10.75</v>
      </c>
      <c r="J48" s="31">
        <v>2750</v>
      </c>
      <c r="K48" s="12">
        <f t="shared" si="1"/>
        <v>255.81395348837211</v>
      </c>
      <c r="L48" s="23">
        <v>10.75</v>
      </c>
      <c r="M48" s="13">
        <f>AVERAGE(M44:M47)</f>
        <v>2635.6393558225409</v>
      </c>
      <c r="N48" s="12">
        <f t="shared" si="3"/>
        <v>245.17575403000382</v>
      </c>
      <c r="O48" s="14">
        <f t="shared" si="4"/>
        <v>0</v>
      </c>
      <c r="P48" s="15">
        <f t="shared" si="5"/>
        <v>-10.638199458368291</v>
      </c>
      <c r="Q48" s="149">
        <f t="shared" si="6"/>
        <v>0.95841431120819665</v>
      </c>
      <c r="R48" s="637"/>
      <c r="S48" s="34"/>
      <c r="T48" s="34"/>
      <c r="U48" s="150"/>
      <c r="V48" s="155"/>
      <c r="W48" s="16"/>
      <c r="X48" s="16"/>
      <c r="Y48" s="24">
        <f>SUM(Y44:Y47)</f>
        <v>0</v>
      </c>
      <c r="Z48" s="24">
        <f>SUM(Z44:Z47)</f>
        <v>0</v>
      </c>
      <c r="AA48" s="628"/>
      <c r="AB48" s="629"/>
      <c r="AC48" s="24">
        <v>4</v>
      </c>
      <c r="AD48" s="24">
        <f>SUM(AD44:AD47)</f>
        <v>0</v>
      </c>
      <c r="AE48" s="14">
        <f t="shared" si="8"/>
        <v>-114.36064417745911</v>
      </c>
      <c r="AF48" s="149">
        <f t="shared" si="9"/>
        <v>0.95841431120819665</v>
      </c>
      <c r="AG48" s="637"/>
    </row>
    <row r="49" spans="1:33" ht="15.75" customHeight="1">
      <c r="A49" s="630" t="s">
        <v>456</v>
      </c>
      <c r="B49" s="29" t="s">
        <v>19</v>
      </c>
      <c r="C49" s="616" t="s">
        <v>45</v>
      </c>
      <c r="D49" s="616"/>
      <c r="E49" s="29">
        <v>46</v>
      </c>
      <c r="F49" s="32">
        <v>2262</v>
      </c>
      <c r="G49" s="150">
        <f t="shared" ref="G49:G55" si="35">E49*F49</f>
        <v>104052</v>
      </c>
      <c r="H49" s="33" t="s">
        <v>57</v>
      </c>
      <c r="I49" s="154">
        <v>16</v>
      </c>
      <c r="J49" s="31">
        <v>2000</v>
      </c>
      <c r="K49" s="12">
        <f t="shared" si="1"/>
        <v>125</v>
      </c>
      <c r="L49" s="154">
        <v>16</v>
      </c>
      <c r="M49" s="13">
        <f t="shared" ref="M49" si="36">F49/V49*60</f>
        <v>1911.5492957746471</v>
      </c>
      <c r="N49" s="13">
        <f t="shared" si="3"/>
        <v>119.47183098591545</v>
      </c>
      <c r="O49" s="14">
        <f t="shared" si="4"/>
        <v>0</v>
      </c>
      <c r="P49" s="15">
        <f t="shared" si="5"/>
        <v>-5.5281690140845541</v>
      </c>
      <c r="Q49" s="149">
        <f t="shared" si="6"/>
        <v>0.95577464788732358</v>
      </c>
      <c r="R49" s="615">
        <f>Q56</f>
        <v>0.95833135739297903</v>
      </c>
      <c r="S49" s="34">
        <v>0.20833333333333334</v>
      </c>
      <c r="T49" s="34">
        <v>0.25763888888888892</v>
      </c>
      <c r="U49" s="21"/>
      <c r="V49" s="155">
        <f t="shared" ref="V49:V55" si="37">(T49-S49)*24*60</f>
        <v>71.000000000000028</v>
      </c>
      <c r="W49" s="21"/>
      <c r="X49" s="21"/>
      <c r="Y49" s="21"/>
      <c r="Z49" s="21"/>
      <c r="AA49" s="617"/>
      <c r="AB49" s="617"/>
      <c r="AC49" s="35">
        <v>7</v>
      </c>
      <c r="AD49" s="18"/>
      <c r="AE49" s="14">
        <f t="shared" si="8"/>
        <v>-88.450704225352865</v>
      </c>
      <c r="AF49" s="149">
        <f t="shared" si="9"/>
        <v>0.95577464788732358</v>
      </c>
      <c r="AG49" s="615">
        <f>AF56</f>
        <v>0.95833135739297892</v>
      </c>
    </row>
    <row r="50" spans="1:33" ht="15.75" customHeight="1">
      <c r="A50" s="630" t="s">
        <v>456</v>
      </c>
      <c r="B50" s="29" t="s">
        <v>19</v>
      </c>
      <c r="C50" s="616" t="s">
        <v>81</v>
      </c>
      <c r="D50" s="616"/>
      <c r="E50" s="29">
        <v>46</v>
      </c>
      <c r="F50" s="32">
        <v>3319</v>
      </c>
      <c r="G50" s="150">
        <f t="shared" si="35"/>
        <v>152674</v>
      </c>
      <c r="H50" s="33" t="s">
        <v>57</v>
      </c>
      <c r="I50" s="154">
        <v>16</v>
      </c>
      <c r="J50" s="31">
        <v>2000</v>
      </c>
      <c r="K50" s="12">
        <f t="shared" si="1"/>
        <v>125</v>
      </c>
      <c r="L50" s="154">
        <v>16</v>
      </c>
      <c r="M50" s="13">
        <f>F50/V50*60</f>
        <v>1914.8076923076917</v>
      </c>
      <c r="N50" s="13">
        <f t="shared" si="3"/>
        <v>119.67548076923073</v>
      </c>
      <c r="O50" s="14">
        <f t="shared" si="4"/>
        <v>0</v>
      </c>
      <c r="P50" s="15">
        <f t="shared" si="5"/>
        <v>-5.324519230769269</v>
      </c>
      <c r="Q50" s="149">
        <f t="shared" si="6"/>
        <v>0.95740384615384588</v>
      </c>
      <c r="R50" s="615"/>
      <c r="S50" s="34">
        <v>0.26250000000000001</v>
      </c>
      <c r="T50" s="34">
        <v>0.33472222222222225</v>
      </c>
      <c r="U50" s="150">
        <f t="shared" ref="U50:U55" si="38">IF(S50=TIME(17,0,0),"",(S50-T49)*24*60)</f>
        <v>6.9999999999999751</v>
      </c>
      <c r="V50" s="155">
        <f t="shared" si="37"/>
        <v>104.00000000000003</v>
      </c>
      <c r="W50" s="16"/>
      <c r="X50" s="16"/>
      <c r="Y50" s="16"/>
      <c r="Z50" s="16"/>
      <c r="AA50" s="617"/>
      <c r="AB50" s="617"/>
      <c r="AC50" s="35"/>
      <c r="AD50" s="18"/>
      <c r="AE50" s="14">
        <f t="shared" si="8"/>
        <v>-85.192307692308304</v>
      </c>
      <c r="AF50" s="149">
        <f t="shared" si="9"/>
        <v>0.95740384615384588</v>
      </c>
      <c r="AG50" s="615"/>
    </row>
    <row r="51" spans="1:33" ht="15.75" customHeight="1">
      <c r="A51" s="630" t="s">
        <v>456</v>
      </c>
      <c r="B51" s="29" t="s">
        <v>15</v>
      </c>
      <c r="C51" s="622" t="s">
        <v>47</v>
      </c>
      <c r="D51" s="623"/>
      <c r="E51" s="29">
        <v>51.75</v>
      </c>
      <c r="F51" s="32">
        <v>736</v>
      </c>
      <c r="G51" s="150">
        <f t="shared" si="35"/>
        <v>38088</v>
      </c>
      <c r="H51" s="33" t="s">
        <v>57</v>
      </c>
      <c r="I51" s="154">
        <v>25</v>
      </c>
      <c r="J51" s="31">
        <v>2000</v>
      </c>
      <c r="K51" s="12">
        <f t="shared" si="1"/>
        <v>80</v>
      </c>
      <c r="L51" s="154">
        <v>25</v>
      </c>
      <c r="M51" s="13">
        <f t="shared" ref="M51:M55" si="39">F51/V51*60</f>
        <v>1920</v>
      </c>
      <c r="N51" s="13">
        <f t="shared" si="3"/>
        <v>76.8</v>
      </c>
      <c r="O51" s="14">
        <f t="shared" si="4"/>
        <v>0</v>
      </c>
      <c r="P51" s="15">
        <f t="shared" si="5"/>
        <v>-3.2000000000000028</v>
      </c>
      <c r="Q51" s="149">
        <f t="shared" si="6"/>
        <v>0.96</v>
      </c>
      <c r="R51" s="615"/>
      <c r="S51" s="34">
        <v>0.33888888888888891</v>
      </c>
      <c r="T51" s="34">
        <v>0.35486111111111113</v>
      </c>
      <c r="U51" s="150">
        <f t="shared" si="38"/>
        <v>5.9999999999999787</v>
      </c>
      <c r="V51" s="155">
        <f t="shared" si="37"/>
        <v>23</v>
      </c>
      <c r="W51" s="16"/>
      <c r="X51" s="16"/>
      <c r="Y51" s="19"/>
      <c r="Z51" s="19"/>
      <c r="AA51" s="617"/>
      <c r="AB51" s="617"/>
      <c r="AC51" s="35"/>
      <c r="AD51" s="18"/>
      <c r="AE51" s="14">
        <f t="shared" si="8"/>
        <v>-80</v>
      </c>
      <c r="AF51" s="149">
        <f t="shared" si="9"/>
        <v>0.96</v>
      </c>
      <c r="AG51" s="615"/>
    </row>
    <row r="52" spans="1:33" ht="15.75" customHeight="1">
      <c r="A52" s="630" t="s">
        <v>457</v>
      </c>
      <c r="B52" s="29" t="s">
        <v>15</v>
      </c>
      <c r="C52" s="143" t="s">
        <v>46</v>
      </c>
      <c r="D52" s="144"/>
      <c r="E52" s="29">
        <v>56.43</v>
      </c>
      <c r="F52" s="32">
        <v>1381</v>
      </c>
      <c r="G52" s="150">
        <f t="shared" si="35"/>
        <v>77929.83</v>
      </c>
      <c r="H52" s="33" t="s">
        <v>57</v>
      </c>
      <c r="I52" s="154">
        <v>22</v>
      </c>
      <c r="J52" s="31">
        <v>2000</v>
      </c>
      <c r="K52" s="12">
        <f t="shared" si="1"/>
        <v>90.909090909090907</v>
      </c>
      <c r="L52" s="154">
        <v>22</v>
      </c>
      <c r="M52" s="13">
        <f t="shared" si="39"/>
        <v>1926.9767441860463</v>
      </c>
      <c r="N52" s="13">
        <f t="shared" si="3"/>
        <v>87.589852008456646</v>
      </c>
      <c r="O52" s="14">
        <f t="shared" si="4"/>
        <v>0</v>
      </c>
      <c r="P52" s="15">
        <f t="shared" si="5"/>
        <v>-3.3192389006342609</v>
      </c>
      <c r="Q52" s="149">
        <f t="shared" si="6"/>
        <v>0.96348837209302318</v>
      </c>
      <c r="R52" s="615"/>
      <c r="S52" s="34">
        <v>0.35833333333333334</v>
      </c>
      <c r="T52" s="34">
        <v>0.38819444444444445</v>
      </c>
      <c r="U52" s="150">
        <f t="shared" si="38"/>
        <v>4.9999999999999822</v>
      </c>
      <c r="V52" s="155">
        <f t="shared" si="37"/>
        <v>43.000000000000007</v>
      </c>
      <c r="W52" s="16"/>
      <c r="X52" s="16"/>
      <c r="Y52" s="19"/>
      <c r="Z52" s="19"/>
      <c r="AA52" s="617"/>
      <c r="AB52" s="617"/>
      <c r="AC52" s="35"/>
      <c r="AD52" s="18"/>
      <c r="AE52" s="14">
        <f t="shared" si="8"/>
        <v>-73.02325581395371</v>
      </c>
      <c r="AF52" s="149">
        <f t="shared" si="9"/>
        <v>0.96348837209302318</v>
      </c>
      <c r="AG52" s="615"/>
    </row>
    <row r="53" spans="1:33" ht="15.75" customHeight="1">
      <c r="A53" s="630" t="s">
        <v>457</v>
      </c>
      <c r="B53" s="29" t="s">
        <v>15</v>
      </c>
      <c r="C53" s="143" t="s">
        <v>27</v>
      </c>
      <c r="D53" s="144"/>
      <c r="E53" s="29">
        <v>59.04</v>
      </c>
      <c r="F53" s="32">
        <v>3164</v>
      </c>
      <c r="G53" s="150">
        <f t="shared" si="35"/>
        <v>186802.56</v>
      </c>
      <c r="H53" s="33" t="s">
        <v>57</v>
      </c>
      <c r="I53" s="154">
        <v>19</v>
      </c>
      <c r="J53" s="31">
        <v>2000</v>
      </c>
      <c r="K53" s="12">
        <f t="shared" si="1"/>
        <v>105.26315789473684</v>
      </c>
      <c r="L53" s="154">
        <v>19</v>
      </c>
      <c r="M53" s="13">
        <f t="shared" si="39"/>
        <v>1917.5757575757582</v>
      </c>
      <c r="N53" s="13">
        <f t="shared" si="3"/>
        <v>100.92503987240832</v>
      </c>
      <c r="O53" s="14">
        <f t="shared" si="4"/>
        <v>0</v>
      </c>
      <c r="P53" s="15">
        <f t="shared" si="5"/>
        <v>-4.3381180223285156</v>
      </c>
      <c r="Q53" s="149">
        <f t="shared" si="6"/>
        <v>0.95878787878787908</v>
      </c>
      <c r="R53" s="615"/>
      <c r="S53" s="34">
        <v>0.39166666666666666</v>
      </c>
      <c r="T53" s="34">
        <v>0.46041666666666664</v>
      </c>
      <c r="U53" s="150">
        <f t="shared" si="38"/>
        <v>4.9999999999999822</v>
      </c>
      <c r="V53" s="155">
        <f t="shared" si="37"/>
        <v>98.999999999999972</v>
      </c>
      <c r="W53" s="16"/>
      <c r="X53" s="16"/>
      <c r="Y53" s="19"/>
      <c r="Z53" s="19"/>
      <c r="AA53" s="617"/>
      <c r="AB53" s="617"/>
      <c r="AC53" s="35"/>
      <c r="AD53" s="18"/>
      <c r="AE53" s="14">
        <f t="shared" si="8"/>
        <v>-82.424242424241811</v>
      </c>
      <c r="AF53" s="149">
        <f t="shared" si="9"/>
        <v>0.95878787878787908</v>
      </c>
      <c r="AG53" s="615"/>
    </row>
    <row r="54" spans="1:33" ht="15.75" customHeight="1">
      <c r="A54" s="630" t="s">
        <v>457</v>
      </c>
      <c r="B54" s="29" t="s">
        <v>15</v>
      </c>
      <c r="C54" s="622" t="s">
        <v>48</v>
      </c>
      <c r="D54" s="623"/>
      <c r="E54" s="29">
        <v>55.56</v>
      </c>
      <c r="F54" s="32">
        <v>1809</v>
      </c>
      <c r="G54" s="150">
        <f t="shared" si="35"/>
        <v>100508.04000000001</v>
      </c>
      <c r="H54" s="33" t="s">
        <v>57</v>
      </c>
      <c r="I54" s="154">
        <v>17</v>
      </c>
      <c r="J54" s="31">
        <v>2000</v>
      </c>
      <c r="K54" s="12">
        <f t="shared" si="1"/>
        <v>117.64705882352941</v>
      </c>
      <c r="L54" s="154">
        <v>17</v>
      </c>
      <c r="M54" s="13">
        <f t="shared" si="39"/>
        <v>1904.210526315791</v>
      </c>
      <c r="N54" s="13">
        <f t="shared" si="3"/>
        <v>112.01238390092888</v>
      </c>
      <c r="O54" s="14">
        <f t="shared" si="4"/>
        <v>0</v>
      </c>
      <c r="P54" s="15">
        <f t="shared" si="5"/>
        <v>-5.6346749226005244</v>
      </c>
      <c r="Q54" s="149">
        <f t="shared" si="6"/>
        <v>0.95210526315789556</v>
      </c>
      <c r="R54" s="615"/>
      <c r="S54" s="34">
        <v>0.70833333333333337</v>
      </c>
      <c r="T54" s="34">
        <v>0.74791666666666667</v>
      </c>
      <c r="U54" s="150" t="str">
        <f t="shared" si="38"/>
        <v/>
      </c>
      <c r="V54" s="155">
        <f t="shared" si="37"/>
        <v>56.999999999999957</v>
      </c>
      <c r="W54" s="16"/>
      <c r="X54" s="16"/>
      <c r="Y54" s="19"/>
      <c r="Z54" s="19"/>
      <c r="AA54" s="624"/>
      <c r="AB54" s="625"/>
      <c r="AC54" s="35"/>
      <c r="AD54" s="18"/>
      <c r="AE54" s="14">
        <f t="shared" si="8"/>
        <v>-95.789473684209042</v>
      </c>
      <c r="AF54" s="149">
        <f t="shared" si="9"/>
        <v>0.95210526315789545</v>
      </c>
      <c r="AG54" s="615"/>
    </row>
    <row r="55" spans="1:33" ht="15.75" customHeight="1">
      <c r="A55" s="630" t="s">
        <v>456</v>
      </c>
      <c r="B55" s="29" t="s">
        <v>15</v>
      </c>
      <c r="C55" s="622" t="s">
        <v>82</v>
      </c>
      <c r="D55" s="623"/>
      <c r="E55" s="29">
        <v>51.06</v>
      </c>
      <c r="F55" s="32">
        <v>2530</v>
      </c>
      <c r="G55" s="150">
        <f t="shared" si="35"/>
        <v>129181.8</v>
      </c>
      <c r="H55" s="33" t="s">
        <v>57</v>
      </c>
      <c r="I55" s="154">
        <v>13</v>
      </c>
      <c r="J55" s="31">
        <v>2000</v>
      </c>
      <c r="K55" s="12">
        <f t="shared" si="1"/>
        <v>153.84615384615384</v>
      </c>
      <c r="L55" s="154">
        <v>13</v>
      </c>
      <c r="M55" s="13">
        <f t="shared" si="39"/>
        <v>1921.5189873417712</v>
      </c>
      <c r="N55" s="13">
        <f t="shared" si="3"/>
        <v>147.80915287244395</v>
      </c>
      <c r="O55" s="14">
        <f t="shared" si="4"/>
        <v>0</v>
      </c>
      <c r="P55" s="15">
        <f t="shared" si="5"/>
        <v>-6.037000973709894</v>
      </c>
      <c r="Q55" s="149">
        <f t="shared" si="6"/>
        <v>0.96075949367088564</v>
      </c>
      <c r="R55" s="615"/>
      <c r="S55" s="34">
        <v>0.75347222222222221</v>
      </c>
      <c r="T55" s="34">
        <v>0.80833333333333335</v>
      </c>
      <c r="U55" s="150">
        <f t="shared" si="38"/>
        <v>7.9999999999999716</v>
      </c>
      <c r="V55" s="155">
        <f t="shared" si="37"/>
        <v>79.000000000000043</v>
      </c>
      <c r="W55" s="16"/>
      <c r="X55" s="16"/>
      <c r="Y55" s="19"/>
      <c r="Z55" s="19"/>
      <c r="AA55" s="624"/>
      <c r="AB55" s="625"/>
      <c r="AC55" s="35"/>
      <c r="AD55" s="18"/>
      <c r="AE55" s="14">
        <f t="shared" si="8"/>
        <v>-78.481012658228792</v>
      </c>
      <c r="AF55" s="149">
        <f t="shared" si="9"/>
        <v>0.96075949367088564</v>
      </c>
      <c r="AG55" s="615"/>
    </row>
    <row r="56" spans="1:33">
      <c r="A56" s="631" t="s">
        <v>456</v>
      </c>
      <c r="B56" s="29" t="s">
        <v>455</v>
      </c>
      <c r="C56" s="618"/>
      <c r="D56" s="618"/>
      <c r="E56" s="151"/>
      <c r="F56" s="30"/>
      <c r="G56" s="12"/>
      <c r="H56" s="156"/>
      <c r="I56" s="23">
        <v>18.285714285714285</v>
      </c>
      <c r="J56" s="31">
        <v>2000</v>
      </c>
      <c r="K56" s="12">
        <f t="shared" si="1"/>
        <v>109.375</v>
      </c>
      <c r="L56" s="23">
        <v>18.285714285714285</v>
      </c>
      <c r="M56" s="13">
        <f>AVERAGE(M49:M55)</f>
        <v>1916.6627147859579</v>
      </c>
      <c r="N56" s="12">
        <f t="shared" si="3"/>
        <v>104.81749221485708</v>
      </c>
      <c r="O56" s="14">
        <f t="shared" si="4"/>
        <v>0</v>
      </c>
      <c r="P56" s="15">
        <f t="shared" si="5"/>
        <v>-4.5575077851429171</v>
      </c>
      <c r="Q56" s="149">
        <f t="shared" si="6"/>
        <v>0.95833135739297903</v>
      </c>
      <c r="R56" s="615"/>
      <c r="S56" s="34"/>
      <c r="T56" s="34"/>
      <c r="U56" s="150"/>
      <c r="V56" s="155"/>
      <c r="W56" s="12"/>
      <c r="X56" s="12"/>
      <c r="Y56" s="24">
        <f>SUM(Y49:Y55)</f>
        <v>0</v>
      </c>
      <c r="Z56" s="24">
        <f>SUM(Z49:Z55)</f>
        <v>0</v>
      </c>
      <c r="AA56" s="614"/>
      <c r="AB56" s="614"/>
      <c r="AC56" s="24">
        <v>7</v>
      </c>
      <c r="AD56" s="24">
        <f>SUM(AD49:AD55)</f>
        <v>0</v>
      </c>
      <c r="AE56" s="14">
        <f>M56-J56</f>
        <v>-83.33728521404214</v>
      </c>
      <c r="AF56" s="149">
        <f t="shared" si="9"/>
        <v>0.95833135739297892</v>
      </c>
      <c r="AG56" s="615"/>
    </row>
    <row r="57" spans="1:33" ht="15.75" customHeight="1">
      <c r="A57" s="626" t="s">
        <v>458</v>
      </c>
      <c r="B57" s="156" t="s">
        <v>40</v>
      </c>
      <c r="C57" s="616" t="s">
        <v>49</v>
      </c>
      <c r="D57" s="616"/>
      <c r="E57" s="29">
        <v>34.36</v>
      </c>
      <c r="F57" s="32">
        <v>2215</v>
      </c>
      <c r="G57" s="150">
        <f t="shared" ref="G57:G61" si="40">E57*F57</f>
        <v>76107.399999999994</v>
      </c>
      <c r="H57" s="33" t="s">
        <v>57</v>
      </c>
      <c r="I57" s="154">
        <v>10</v>
      </c>
      <c r="J57" s="31">
        <v>3000</v>
      </c>
      <c r="K57" s="12">
        <f t="shared" si="1"/>
        <v>300</v>
      </c>
      <c r="L57" s="154">
        <v>10</v>
      </c>
      <c r="M57" s="13">
        <f t="shared" ref="M57:M61" si="41">F57/V57*60</f>
        <v>2889.1304347826085</v>
      </c>
      <c r="N57" s="12">
        <f t="shared" si="3"/>
        <v>288.91304347826087</v>
      </c>
      <c r="O57" s="14">
        <f t="shared" si="4"/>
        <v>0</v>
      </c>
      <c r="P57" s="15">
        <f t="shared" si="5"/>
        <v>-11.086956521739125</v>
      </c>
      <c r="Q57" s="149">
        <f t="shared" si="6"/>
        <v>0.96304347826086956</v>
      </c>
      <c r="R57" s="615">
        <f>Q62</f>
        <v>0.96542377860843331</v>
      </c>
      <c r="S57" s="34">
        <v>0.20833333333333334</v>
      </c>
      <c r="T57" s="34">
        <v>0.24027777777777778</v>
      </c>
      <c r="U57" s="150"/>
      <c r="V57" s="155">
        <f t="shared" ref="V57:V61" si="42">(T57-S57)*24*60</f>
        <v>46</v>
      </c>
      <c r="W57" s="21"/>
      <c r="X57" s="21"/>
      <c r="Y57" s="21"/>
      <c r="Z57" s="21"/>
      <c r="AA57" s="617"/>
      <c r="AB57" s="617"/>
      <c r="AC57" s="35">
        <v>5</v>
      </c>
      <c r="AD57" s="18"/>
      <c r="AE57" s="14">
        <f t="shared" ref="AE57:AE69" si="43">M57-J57</f>
        <v>-110.86956521739148</v>
      </c>
      <c r="AF57" s="149">
        <f t="shared" si="9"/>
        <v>0.96304347826086956</v>
      </c>
      <c r="AG57" s="615">
        <f>AF62</f>
        <v>0.96542377860843331</v>
      </c>
    </row>
    <row r="58" spans="1:33" ht="15.75" customHeight="1">
      <c r="A58" s="626" t="s">
        <v>458</v>
      </c>
      <c r="B58" s="156" t="s">
        <v>40</v>
      </c>
      <c r="C58" s="616" t="s">
        <v>50</v>
      </c>
      <c r="D58" s="616"/>
      <c r="E58" s="29">
        <v>34.36</v>
      </c>
      <c r="F58" s="32">
        <v>1078</v>
      </c>
      <c r="G58" s="150">
        <f t="shared" si="40"/>
        <v>37040.080000000002</v>
      </c>
      <c r="H58" s="33" t="s">
        <v>57</v>
      </c>
      <c r="I58" s="154">
        <v>10</v>
      </c>
      <c r="J58" s="31">
        <v>3000</v>
      </c>
      <c r="K58" s="12">
        <f t="shared" si="1"/>
        <v>300</v>
      </c>
      <c r="L58" s="154">
        <v>10</v>
      </c>
      <c r="M58" s="13">
        <f t="shared" si="41"/>
        <v>2940</v>
      </c>
      <c r="N58" s="12">
        <f t="shared" si="3"/>
        <v>294</v>
      </c>
      <c r="O58" s="14">
        <f t="shared" si="4"/>
        <v>0</v>
      </c>
      <c r="P58" s="15">
        <f t="shared" si="5"/>
        <v>-6</v>
      </c>
      <c r="Q58" s="149">
        <f t="shared" si="6"/>
        <v>0.98</v>
      </c>
      <c r="R58" s="615"/>
      <c r="S58" s="34">
        <v>0.24513888888888891</v>
      </c>
      <c r="T58" s="34">
        <v>0.26041666666666669</v>
      </c>
      <c r="U58" s="150">
        <f t="shared" ref="U58:U61" si="44">(S58-T57)*24*60</f>
        <v>7.0000000000000151</v>
      </c>
      <c r="V58" s="155">
        <f t="shared" si="42"/>
        <v>22</v>
      </c>
      <c r="W58" s="150"/>
      <c r="X58" s="150"/>
      <c r="Y58" s="150"/>
      <c r="Z58" s="150"/>
      <c r="AA58" s="617"/>
      <c r="AB58" s="617"/>
      <c r="AC58" s="35"/>
      <c r="AD58" s="18"/>
      <c r="AE58" s="14">
        <f t="shared" si="43"/>
        <v>-60</v>
      </c>
      <c r="AF58" s="149">
        <f t="shared" si="9"/>
        <v>0.98</v>
      </c>
      <c r="AG58" s="615"/>
    </row>
    <row r="59" spans="1:33" ht="15.75" customHeight="1">
      <c r="A59" s="626" t="s">
        <v>458</v>
      </c>
      <c r="B59" s="156" t="s">
        <v>40</v>
      </c>
      <c r="C59" s="616" t="s">
        <v>51</v>
      </c>
      <c r="D59" s="616"/>
      <c r="E59" s="29">
        <v>26.78</v>
      </c>
      <c r="F59" s="32">
        <v>2441</v>
      </c>
      <c r="G59" s="150">
        <f t="shared" si="40"/>
        <v>65369.98</v>
      </c>
      <c r="H59" s="33" t="s">
        <v>57</v>
      </c>
      <c r="I59" s="154">
        <v>10</v>
      </c>
      <c r="J59" s="31">
        <v>3000</v>
      </c>
      <c r="K59" s="12">
        <f t="shared" si="1"/>
        <v>300</v>
      </c>
      <c r="L59" s="154">
        <v>10</v>
      </c>
      <c r="M59" s="13">
        <f t="shared" si="41"/>
        <v>2871.7647058823541</v>
      </c>
      <c r="N59" s="12">
        <f t="shared" si="3"/>
        <v>287.17647058823542</v>
      </c>
      <c r="O59" s="14">
        <f t="shared" si="4"/>
        <v>0</v>
      </c>
      <c r="P59" s="15">
        <f t="shared" si="5"/>
        <v>-12.823529411764582</v>
      </c>
      <c r="Q59" s="149">
        <f t="shared" si="6"/>
        <v>0.95725490196078478</v>
      </c>
      <c r="R59" s="615"/>
      <c r="S59" s="34">
        <v>0.2638888888888889</v>
      </c>
      <c r="T59" s="34">
        <v>0.29930555555555555</v>
      </c>
      <c r="U59" s="150">
        <f t="shared" si="44"/>
        <v>4.9999999999999822</v>
      </c>
      <c r="V59" s="155">
        <f t="shared" si="42"/>
        <v>50.999999999999979</v>
      </c>
      <c r="W59" s="150"/>
      <c r="X59" s="150"/>
      <c r="Y59" s="150"/>
      <c r="Z59" s="150"/>
      <c r="AA59" s="617"/>
      <c r="AB59" s="617"/>
      <c r="AC59" s="35"/>
      <c r="AD59" s="18"/>
      <c r="AE59" s="14">
        <f t="shared" si="43"/>
        <v>-128.23529411764594</v>
      </c>
      <c r="AF59" s="149">
        <f t="shared" si="9"/>
        <v>0.95725490196078467</v>
      </c>
      <c r="AG59" s="615"/>
    </row>
    <row r="60" spans="1:33" ht="15.75" customHeight="1">
      <c r="A60" s="626" t="s">
        <v>458</v>
      </c>
      <c r="B60" s="156" t="s">
        <v>40</v>
      </c>
      <c r="C60" s="616" t="s">
        <v>52</v>
      </c>
      <c r="D60" s="616"/>
      <c r="E60" s="29">
        <v>35.869999999999997</v>
      </c>
      <c r="F60" s="32">
        <v>3755</v>
      </c>
      <c r="G60" s="150">
        <f t="shared" si="40"/>
        <v>134691.84999999998</v>
      </c>
      <c r="H60" s="33" t="s">
        <v>57</v>
      </c>
      <c r="I60" s="154">
        <v>9</v>
      </c>
      <c r="J60" s="31">
        <v>3000</v>
      </c>
      <c r="K60" s="12">
        <f t="shared" si="1"/>
        <v>333.33333333333331</v>
      </c>
      <c r="L60" s="154">
        <v>9</v>
      </c>
      <c r="M60" s="13">
        <f t="shared" si="41"/>
        <v>2888.4615384615404</v>
      </c>
      <c r="N60" s="12">
        <f t="shared" si="3"/>
        <v>320.94017094017113</v>
      </c>
      <c r="O60" s="14">
        <f t="shared" si="4"/>
        <v>0</v>
      </c>
      <c r="P60" s="15">
        <f t="shared" si="5"/>
        <v>-12.393162393162186</v>
      </c>
      <c r="Q60" s="149">
        <f t="shared" si="6"/>
        <v>0.9628205128205134</v>
      </c>
      <c r="R60" s="615"/>
      <c r="S60" s="34">
        <v>0.30486111111111108</v>
      </c>
      <c r="T60" s="34">
        <v>0.35902777777777772</v>
      </c>
      <c r="U60" s="150">
        <f t="shared" si="44"/>
        <v>7.9999999999999716</v>
      </c>
      <c r="V60" s="155">
        <f t="shared" si="42"/>
        <v>77.999999999999957</v>
      </c>
      <c r="W60" s="150"/>
      <c r="X60" s="150"/>
      <c r="Y60" s="150"/>
      <c r="Z60" s="150"/>
      <c r="AA60" s="617"/>
      <c r="AB60" s="617"/>
      <c r="AC60" s="35"/>
      <c r="AD60" s="18"/>
      <c r="AE60" s="14">
        <f t="shared" si="43"/>
        <v>-111.53846153845961</v>
      </c>
      <c r="AF60" s="149">
        <f t="shared" si="9"/>
        <v>0.96282051282051351</v>
      </c>
      <c r="AG60" s="615"/>
    </row>
    <row r="61" spans="1:33">
      <c r="A61" s="627" t="s">
        <v>458</v>
      </c>
      <c r="B61" s="156" t="s">
        <v>40</v>
      </c>
      <c r="C61" s="616" t="s">
        <v>53</v>
      </c>
      <c r="D61" s="616"/>
      <c r="E61" s="29">
        <v>34.35</v>
      </c>
      <c r="F61" s="32">
        <v>1928</v>
      </c>
      <c r="G61" s="150">
        <f t="shared" si="40"/>
        <v>66226.8</v>
      </c>
      <c r="H61" s="33" t="s">
        <v>57</v>
      </c>
      <c r="I61" s="154">
        <v>8</v>
      </c>
      <c r="J61" s="31">
        <v>3000</v>
      </c>
      <c r="K61" s="12">
        <f t="shared" si="1"/>
        <v>375</v>
      </c>
      <c r="L61" s="154">
        <v>8</v>
      </c>
      <c r="M61" s="13">
        <f t="shared" si="41"/>
        <v>2891.9999999999991</v>
      </c>
      <c r="N61" s="12">
        <f t="shared" si="3"/>
        <v>361.49999999999989</v>
      </c>
      <c r="O61" s="14">
        <f t="shared" si="4"/>
        <v>0</v>
      </c>
      <c r="P61" s="15">
        <f t="shared" si="5"/>
        <v>-13.500000000000114</v>
      </c>
      <c r="Q61" s="149">
        <f t="shared" si="6"/>
        <v>0.96399999999999975</v>
      </c>
      <c r="R61" s="615"/>
      <c r="S61" s="34">
        <v>0.36388888888888882</v>
      </c>
      <c r="T61" s="34">
        <v>0.39166666666666661</v>
      </c>
      <c r="U61" s="150">
        <f t="shared" si="44"/>
        <v>6.9999999999999751</v>
      </c>
      <c r="V61" s="155">
        <f t="shared" si="42"/>
        <v>40.000000000000014</v>
      </c>
      <c r="W61" s="16"/>
      <c r="X61" s="16"/>
      <c r="Y61" s="16"/>
      <c r="Z61" s="16"/>
      <c r="AA61" s="617"/>
      <c r="AB61" s="617"/>
      <c r="AC61" s="35"/>
      <c r="AD61" s="18"/>
      <c r="AE61" s="14">
        <f t="shared" si="43"/>
        <v>-108.00000000000091</v>
      </c>
      <c r="AF61" s="149">
        <f t="shared" si="9"/>
        <v>0.96399999999999975</v>
      </c>
      <c r="AG61" s="615"/>
    </row>
    <row r="62" spans="1:33">
      <c r="A62" s="627" t="s">
        <v>458</v>
      </c>
      <c r="B62" s="29" t="s">
        <v>455</v>
      </c>
      <c r="C62" s="618"/>
      <c r="D62" s="618"/>
      <c r="E62" s="151"/>
      <c r="F62" s="30"/>
      <c r="G62" s="12"/>
      <c r="H62" s="156"/>
      <c r="I62" s="23">
        <v>9.4</v>
      </c>
      <c r="J62" s="31">
        <v>3000</v>
      </c>
      <c r="K62" s="12">
        <f t="shared" si="1"/>
        <v>319.14893617021278</v>
      </c>
      <c r="L62" s="23">
        <v>9.4</v>
      </c>
      <c r="M62" s="13">
        <f>AVERAGE(M57:M61)</f>
        <v>2896.2713358253</v>
      </c>
      <c r="N62" s="12">
        <f t="shared" si="3"/>
        <v>308.1139718963085</v>
      </c>
      <c r="O62" s="14">
        <f t="shared" si="4"/>
        <v>0</v>
      </c>
      <c r="P62" s="15">
        <f t="shared" si="5"/>
        <v>-11.034964273904279</v>
      </c>
      <c r="Q62" s="149">
        <f t="shared" si="6"/>
        <v>0.96542377860843331</v>
      </c>
      <c r="R62" s="615"/>
      <c r="S62" s="34"/>
      <c r="T62" s="34"/>
      <c r="U62" s="12"/>
      <c r="V62" s="155"/>
      <c r="W62" s="12"/>
      <c r="X62" s="12"/>
      <c r="Y62" s="24">
        <f>SUM(Y57:Y61)</f>
        <v>0</v>
      </c>
      <c r="Z62" s="24">
        <f>SUM(Z57:Z61)</f>
        <v>0</v>
      </c>
      <c r="AA62" s="614"/>
      <c r="AB62" s="614"/>
      <c r="AC62" s="24">
        <v>5</v>
      </c>
      <c r="AD62" s="24">
        <f>SUM(AD57:AD61)</f>
        <v>0</v>
      </c>
      <c r="AE62" s="14">
        <f t="shared" si="43"/>
        <v>-103.72866417470004</v>
      </c>
      <c r="AF62" s="149">
        <f t="shared" si="9"/>
        <v>0.96542377860843331</v>
      </c>
      <c r="AG62" s="615"/>
    </row>
    <row r="63" spans="1:33" ht="15.75" customHeight="1">
      <c r="A63" s="619" t="s">
        <v>459</v>
      </c>
      <c r="B63" s="156" t="s">
        <v>32</v>
      </c>
      <c r="C63" s="616" t="s">
        <v>55</v>
      </c>
      <c r="D63" s="616"/>
      <c r="E63" s="29">
        <v>22.69</v>
      </c>
      <c r="F63" s="156">
        <v>3828</v>
      </c>
      <c r="G63" s="150">
        <f t="shared" ref="G63:G68" si="45">E63*F63</f>
        <v>86857.32</v>
      </c>
      <c r="H63" s="33" t="s">
        <v>57</v>
      </c>
      <c r="I63" s="154">
        <v>15</v>
      </c>
      <c r="J63" s="31">
        <v>2400</v>
      </c>
      <c r="K63" s="12">
        <f t="shared" si="1"/>
        <v>160</v>
      </c>
      <c r="L63" s="154">
        <v>15</v>
      </c>
      <c r="M63" s="13">
        <f t="shared" ref="M63:M68" si="46">F63/V63*60</f>
        <v>2296.7999999999997</v>
      </c>
      <c r="N63" s="12">
        <f t="shared" si="3"/>
        <v>153.11999999999998</v>
      </c>
      <c r="O63" s="14">
        <f t="shared" si="4"/>
        <v>0</v>
      </c>
      <c r="P63" s="15">
        <f t="shared" si="5"/>
        <v>-6.8800000000000239</v>
      </c>
      <c r="Q63" s="149">
        <f t="shared" si="6"/>
        <v>0.95699999999999985</v>
      </c>
      <c r="R63" s="615">
        <f>Q69</f>
        <v>0.95728484075298137</v>
      </c>
      <c r="S63" s="34">
        <v>8.3333333333333329E-2</v>
      </c>
      <c r="T63" s="34">
        <v>0.15277777777777779</v>
      </c>
      <c r="U63" s="21"/>
      <c r="V63" s="155">
        <f t="shared" ref="V63:V68" si="47">(T63-S63)*24*60</f>
        <v>100.00000000000001</v>
      </c>
      <c r="W63" s="16">
        <f>T63</f>
        <v>0.15277777777777779</v>
      </c>
      <c r="X63" s="16">
        <f>S64</f>
        <v>0.17083333333333334</v>
      </c>
      <c r="Y63" s="16"/>
      <c r="Z63" s="16"/>
      <c r="AA63" s="617"/>
      <c r="AB63" s="617"/>
      <c r="AC63" s="35">
        <v>6</v>
      </c>
      <c r="AD63" s="18"/>
      <c r="AE63" s="14">
        <f t="shared" si="43"/>
        <v>-103.20000000000027</v>
      </c>
      <c r="AF63" s="149">
        <f t="shared" si="9"/>
        <v>0.95699999999999985</v>
      </c>
      <c r="AG63" s="615">
        <f>AF69</f>
        <v>0.95728484075298148</v>
      </c>
    </row>
    <row r="64" spans="1:33" ht="15.75" customHeight="1">
      <c r="A64" s="620" t="s">
        <v>459</v>
      </c>
      <c r="B64" s="156" t="s">
        <v>32</v>
      </c>
      <c r="C64" s="616" t="s">
        <v>54</v>
      </c>
      <c r="D64" s="616"/>
      <c r="E64" s="29">
        <v>20.21</v>
      </c>
      <c r="F64" s="156">
        <v>3377</v>
      </c>
      <c r="G64" s="150">
        <f t="shared" si="45"/>
        <v>68249.17</v>
      </c>
      <c r="H64" s="33" t="s">
        <v>57</v>
      </c>
      <c r="I64" s="154">
        <v>15</v>
      </c>
      <c r="J64" s="31">
        <v>2400</v>
      </c>
      <c r="K64" s="12">
        <f t="shared" si="1"/>
        <v>160</v>
      </c>
      <c r="L64" s="154">
        <v>15</v>
      </c>
      <c r="M64" s="13">
        <f t="shared" si="46"/>
        <v>2302.5</v>
      </c>
      <c r="N64" s="12">
        <f t="shared" si="3"/>
        <v>153.5</v>
      </c>
      <c r="O64" s="14">
        <f t="shared" si="4"/>
        <v>0</v>
      </c>
      <c r="P64" s="15">
        <f t="shared" si="5"/>
        <v>-6.5</v>
      </c>
      <c r="Q64" s="149">
        <f t="shared" si="6"/>
        <v>0.95937499999999998</v>
      </c>
      <c r="R64" s="615"/>
      <c r="S64" s="34">
        <v>0.17083333333333334</v>
      </c>
      <c r="T64" s="34">
        <v>0.23194444444444445</v>
      </c>
      <c r="U64" s="150">
        <f t="shared" ref="U64:U68" si="48">(S64-T63)*24*60</f>
        <v>25.999999999999986</v>
      </c>
      <c r="V64" s="155">
        <f t="shared" si="47"/>
        <v>88</v>
      </c>
      <c r="W64" s="16"/>
      <c r="X64" s="16"/>
      <c r="Y64" s="16"/>
      <c r="Z64" s="16"/>
      <c r="AA64" s="617"/>
      <c r="AB64" s="617"/>
      <c r="AC64" s="35"/>
      <c r="AD64" s="18"/>
      <c r="AE64" s="14">
        <f t="shared" si="43"/>
        <v>-97.5</v>
      </c>
      <c r="AF64" s="149">
        <f t="shared" si="9"/>
        <v>0.95937499999999998</v>
      </c>
      <c r="AG64" s="615"/>
    </row>
    <row r="65" spans="1:33" ht="15.75" customHeight="1">
      <c r="A65" s="620" t="s">
        <v>459</v>
      </c>
      <c r="B65" s="156" t="s">
        <v>32</v>
      </c>
      <c r="C65" s="616" t="s">
        <v>84</v>
      </c>
      <c r="D65" s="616"/>
      <c r="E65" s="29">
        <v>20.21</v>
      </c>
      <c r="F65" s="156">
        <v>5084</v>
      </c>
      <c r="G65" s="150">
        <f t="shared" si="45"/>
        <v>102747.64</v>
      </c>
      <c r="H65" s="33" t="s">
        <v>57</v>
      </c>
      <c r="I65" s="154">
        <v>18</v>
      </c>
      <c r="J65" s="31">
        <v>2400</v>
      </c>
      <c r="K65" s="12">
        <f t="shared" si="1"/>
        <v>133.33333333333334</v>
      </c>
      <c r="L65" s="154">
        <v>18</v>
      </c>
      <c r="M65" s="13">
        <f t="shared" si="46"/>
        <v>2293.5338345864652</v>
      </c>
      <c r="N65" s="12">
        <f t="shared" si="3"/>
        <v>127.41854636591474</v>
      </c>
      <c r="O65" s="14">
        <f t="shared" si="4"/>
        <v>0</v>
      </c>
      <c r="P65" s="15">
        <f t="shared" si="5"/>
        <v>-5.9147869674186069</v>
      </c>
      <c r="Q65" s="149">
        <f t="shared" si="6"/>
        <v>0.9556390977443604</v>
      </c>
      <c r="R65" s="615"/>
      <c r="S65" s="34">
        <v>0.23750000000000002</v>
      </c>
      <c r="T65" s="34">
        <v>0.32986111111111116</v>
      </c>
      <c r="U65" s="150">
        <f t="shared" si="48"/>
        <v>8.0000000000000107</v>
      </c>
      <c r="V65" s="155">
        <f t="shared" si="47"/>
        <v>133.00000000000006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-106.46616541353478</v>
      </c>
      <c r="AF65" s="149">
        <f t="shared" si="9"/>
        <v>0.95563909774436051</v>
      </c>
      <c r="AG65" s="615"/>
    </row>
    <row r="66" spans="1:33" ht="15.75" customHeight="1">
      <c r="A66" s="620" t="s">
        <v>459</v>
      </c>
      <c r="B66" s="156" t="s">
        <v>32</v>
      </c>
      <c r="C66" s="616" t="s">
        <v>36</v>
      </c>
      <c r="D66" s="616"/>
      <c r="E66" s="29">
        <v>20.36</v>
      </c>
      <c r="F66" s="156">
        <v>5014</v>
      </c>
      <c r="G66" s="150">
        <f t="shared" si="45"/>
        <v>102085.04</v>
      </c>
      <c r="H66" s="33" t="s">
        <v>57</v>
      </c>
      <c r="I66" s="154">
        <v>17</v>
      </c>
      <c r="J66" s="31">
        <v>2400</v>
      </c>
      <c r="K66" s="12">
        <f t="shared" si="1"/>
        <v>141.1764705882353</v>
      </c>
      <c r="L66" s="154">
        <v>17</v>
      </c>
      <c r="M66" s="13">
        <f t="shared" si="46"/>
        <v>2296.4885496183206</v>
      </c>
      <c r="N66" s="12">
        <f t="shared" si="3"/>
        <v>135.08756174225414</v>
      </c>
      <c r="O66" s="14">
        <f t="shared" si="4"/>
        <v>0</v>
      </c>
      <c r="P66" s="15">
        <f t="shared" si="5"/>
        <v>-6.088908845981166</v>
      </c>
      <c r="Q66" s="149">
        <f t="shared" si="6"/>
        <v>0.95687022900763341</v>
      </c>
      <c r="R66" s="615"/>
      <c r="S66" s="34">
        <v>0.33472222222222225</v>
      </c>
      <c r="T66" s="34">
        <v>0.42569444444444449</v>
      </c>
      <c r="U66" s="150">
        <f t="shared" si="48"/>
        <v>6.9999999999999751</v>
      </c>
      <c r="V66" s="155">
        <f t="shared" si="47"/>
        <v>131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-103.51145038167942</v>
      </c>
      <c r="AF66" s="149">
        <f t="shared" si="9"/>
        <v>0.95687022900763352</v>
      </c>
      <c r="AG66" s="615"/>
    </row>
    <row r="67" spans="1:33" ht="15.75" customHeight="1">
      <c r="A67" s="620" t="s">
        <v>459</v>
      </c>
      <c r="B67" s="156" t="s">
        <v>32</v>
      </c>
      <c r="C67" s="616" t="s">
        <v>56</v>
      </c>
      <c r="D67" s="616"/>
      <c r="E67" s="29">
        <v>19.02</v>
      </c>
      <c r="F67" s="156">
        <v>3800</v>
      </c>
      <c r="G67" s="150">
        <f t="shared" si="45"/>
        <v>72276</v>
      </c>
      <c r="H67" s="33">
        <v>2</v>
      </c>
      <c r="I67" s="154">
        <v>14</v>
      </c>
      <c r="J67" s="31">
        <v>2400</v>
      </c>
      <c r="K67" s="12">
        <f t="shared" si="1"/>
        <v>171.42857142857142</v>
      </c>
      <c r="L67" s="154">
        <v>14</v>
      </c>
      <c r="M67" s="13">
        <f t="shared" si="46"/>
        <v>2303.0303030303039</v>
      </c>
      <c r="N67" s="12">
        <f t="shared" si="3"/>
        <v>164.50216450216456</v>
      </c>
      <c r="O67" s="14">
        <f t="shared" si="4"/>
        <v>0</v>
      </c>
      <c r="P67" s="15">
        <f t="shared" si="5"/>
        <v>-6.9264069264068553</v>
      </c>
      <c r="Q67" s="149">
        <f t="shared" si="6"/>
        <v>0.95959595959596</v>
      </c>
      <c r="R67" s="615"/>
      <c r="S67" s="34">
        <v>0.4291666666666667</v>
      </c>
      <c r="T67" s="34">
        <v>0.49791666666666667</v>
      </c>
      <c r="U67" s="150">
        <f t="shared" si="48"/>
        <v>4.9999999999999822</v>
      </c>
      <c r="V67" s="155">
        <f t="shared" si="47"/>
        <v>98.999999999999972</v>
      </c>
      <c r="W67" s="16">
        <f>T67</f>
        <v>0.49791666666666667</v>
      </c>
      <c r="X67" s="16">
        <f>S68</f>
        <v>0.53888888888888886</v>
      </c>
      <c r="Y67" s="16"/>
      <c r="Z67" s="16"/>
      <c r="AA67" s="617"/>
      <c r="AB67" s="617"/>
      <c r="AC67" s="35"/>
      <c r="AD67" s="18"/>
      <c r="AE67" s="14">
        <f t="shared" si="43"/>
        <v>-96.969696969696088</v>
      </c>
      <c r="AF67" s="149">
        <f t="shared" si="9"/>
        <v>0.95959595959596</v>
      </c>
      <c r="AG67" s="615"/>
    </row>
    <row r="68" spans="1:33" ht="15.75" customHeight="1">
      <c r="A68" s="620" t="s">
        <v>459</v>
      </c>
      <c r="B68" s="156" t="s">
        <v>32</v>
      </c>
      <c r="C68" s="616" t="s">
        <v>56</v>
      </c>
      <c r="D68" s="616"/>
      <c r="E68" s="29">
        <v>19.02</v>
      </c>
      <c r="F68" s="156">
        <v>5846</v>
      </c>
      <c r="G68" s="150">
        <f t="shared" si="45"/>
        <v>111190.92</v>
      </c>
      <c r="H68" s="33" t="s">
        <v>57</v>
      </c>
      <c r="I68" s="154">
        <v>14</v>
      </c>
      <c r="J68" s="31">
        <v>2400</v>
      </c>
      <c r="K68" s="12">
        <f t="shared" si="1"/>
        <v>171.42857142857142</v>
      </c>
      <c r="L68" s="154">
        <v>14</v>
      </c>
      <c r="M68" s="13">
        <f t="shared" si="46"/>
        <v>2292.549019607844</v>
      </c>
      <c r="N68" s="12">
        <f t="shared" si="3"/>
        <v>163.75350140056028</v>
      </c>
      <c r="O68" s="14">
        <f t="shared" si="4"/>
        <v>0</v>
      </c>
      <c r="P68" s="15">
        <f t="shared" si="5"/>
        <v>-7.6750700280111346</v>
      </c>
      <c r="Q68" s="149">
        <f t="shared" si="6"/>
        <v>0.95522875816993502</v>
      </c>
      <c r="R68" s="615"/>
      <c r="S68" s="34">
        <v>0.53888888888888886</v>
      </c>
      <c r="T68" s="34">
        <v>0.64513888888888882</v>
      </c>
      <c r="U68" s="150">
        <f t="shared" si="48"/>
        <v>58.99999999999995</v>
      </c>
      <c r="V68" s="155">
        <f t="shared" si="47"/>
        <v>152.99999999999994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-107.450980392156</v>
      </c>
      <c r="AF68" s="149">
        <f t="shared" si="9"/>
        <v>0.95522875816993502</v>
      </c>
      <c r="AG68" s="615"/>
    </row>
    <row r="69" spans="1:33" ht="16.5" customHeight="1">
      <c r="A69" s="621" t="s">
        <v>459</v>
      </c>
      <c r="B69" s="29" t="s">
        <v>455</v>
      </c>
      <c r="C69" s="612"/>
      <c r="D69" s="613"/>
      <c r="E69" s="151"/>
      <c r="F69" s="30"/>
      <c r="G69" s="12"/>
      <c r="H69" s="156"/>
      <c r="I69" s="23">
        <v>15.5</v>
      </c>
      <c r="J69" s="31">
        <v>2400</v>
      </c>
      <c r="K69" s="12">
        <f t="shared" ref="K69" si="49">J69/I69</f>
        <v>154.83870967741936</v>
      </c>
      <c r="L69" s="23">
        <v>15.5</v>
      </c>
      <c r="M69" s="13">
        <f>AVERAGE(M63:M68)</f>
        <v>2297.4836178071555</v>
      </c>
      <c r="N69" s="12">
        <f t="shared" ref="N69" si="50">M69/L69</f>
        <v>148.22474953594551</v>
      </c>
      <c r="O69" s="14">
        <f t="shared" ref="O69" si="51">L69-I69</f>
        <v>0</v>
      </c>
      <c r="P69" s="15">
        <f t="shared" ref="P69" si="52">N69-K69</f>
        <v>-6.6139601414738536</v>
      </c>
      <c r="Q69" s="149">
        <f t="shared" ref="Q69" si="53">N69/K69</f>
        <v>0.95728484075298137</v>
      </c>
      <c r="R69" s="615"/>
      <c r="S69" s="34"/>
      <c r="T69" s="34"/>
      <c r="U69" s="12"/>
      <c r="V69" s="155"/>
      <c r="W69" s="12"/>
      <c r="X69" s="12"/>
      <c r="Y69" s="24">
        <f>SUM(Y63:Y68)</f>
        <v>0</v>
      </c>
      <c r="Z69" s="24">
        <f>SUM(Z63:Z68)</f>
        <v>0</v>
      </c>
      <c r="AA69" s="614"/>
      <c r="AB69" s="614"/>
      <c r="AC69" s="24">
        <v>6</v>
      </c>
      <c r="AD69" s="24">
        <f>SUM(AD63:AD68)</f>
        <v>0</v>
      </c>
      <c r="AE69" s="14">
        <f t="shared" si="43"/>
        <v>-102.5163821928445</v>
      </c>
      <c r="AF69" s="149">
        <f t="shared" ref="AF69" si="54">M69/J69</f>
        <v>0.95728484075298148</v>
      </c>
      <c r="AG69" s="615"/>
    </row>
    <row r="70" spans="1:33">
      <c r="D70" s="25"/>
      <c r="E70" s="25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21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1:D21"/>
    <mergeCell ref="AA21:AB21"/>
    <mergeCell ref="A22:A28"/>
    <mergeCell ref="C22:D22"/>
    <mergeCell ref="R22:R28"/>
    <mergeCell ref="AA22:AB22"/>
    <mergeCell ref="AA27:AB27"/>
    <mergeCell ref="A14:A21"/>
    <mergeCell ref="C14:D14"/>
    <mergeCell ref="R14:R21"/>
    <mergeCell ref="AA14:AB14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29:A35"/>
    <mergeCell ref="C29:D29"/>
    <mergeCell ref="R29:R35"/>
    <mergeCell ref="AA29:AB29"/>
    <mergeCell ref="AA34:AB34"/>
    <mergeCell ref="C35:D35"/>
    <mergeCell ref="AA35:AB35"/>
    <mergeCell ref="AG36:AG43"/>
    <mergeCell ref="C37:D37"/>
    <mergeCell ref="AA37:AB37"/>
    <mergeCell ref="C38:D38"/>
    <mergeCell ref="AA38:AB38"/>
    <mergeCell ref="C39:D39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43:D43"/>
    <mergeCell ref="AA43:AB43"/>
    <mergeCell ref="A44:A48"/>
    <mergeCell ref="C44:D44"/>
    <mergeCell ref="R44:R48"/>
    <mergeCell ref="AA44:AB44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AG44:AG48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A49:A56"/>
    <mergeCell ref="C49:D49"/>
    <mergeCell ref="R49:R56"/>
    <mergeCell ref="AA49:AB49"/>
    <mergeCell ref="AG49:AG56"/>
    <mergeCell ref="C50:D50"/>
    <mergeCell ref="AA50:AB50"/>
    <mergeCell ref="C51:D51"/>
    <mergeCell ref="AA51:AB51"/>
    <mergeCell ref="AA52:AB52"/>
    <mergeCell ref="AG57:AG62"/>
    <mergeCell ref="C58:D58"/>
    <mergeCell ref="AA58:AB58"/>
    <mergeCell ref="C59:D59"/>
    <mergeCell ref="AA59:AB59"/>
    <mergeCell ref="C60:D60"/>
    <mergeCell ref="AA53:AB53"/>
    <mergeCell ref="C54:D54"/>
    <mergeCell ref="AA54:AB54"/>
    <mergeCell ref="C55:D55"/>
    <mergeCell ref="AA55:AB55"/>
    <mergeCell ref="C56:D56"/>
    <mergeCell ref="AA56:AB56"/>
    <mergeCell ref="AA60:AB60"/>
    <mergeCell ref="C61:D61"/>
    <mergeCell ref="AA61:AB61"/>
    <mergeCell ref="C62:D62"/>
    <mergeCell ref="AA62:AB62"/>
    <mergeCell ref="A63:A69"/>
    <mergeCell ref="C63:D63"/>
    <mergeCell ref="R63:R69"/>
    <mergeCell ref="AA63:AB63"/>
    <mergeCell ref="AA68:AB68"/>
    <mergeCell ref="A57:A62"/>
    <mergeCell ref="C57:D57"/>
    <mergeCell ref="R57:R62"/>
    <mergeCell ref="AA57:AB57"/>
    <mergeCell ref="C69:D69"/>
    <mergeCell ref="AA69:AB69"/>
    <mergeCell ref="AG63:AG69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</mergeCells>
  <phoneticPr fontId="3" type="noConversion"/>
  <conditionalFormatting sqref="O56:O57 O60:O69 O5:O9 O13:O15 O21:O54">
    <cfRule type="cellIs" dxfId="302" priority="46" operator="greaterThan">
      <formula>0</formula>
    </cfRule>
  </conditionalFormatting>
  <conditionalFormatting sqref="P5:P7 P60:P61 AE60:AE61 P63:P68 P29:P34 P57 P9 P13:P15 P22:P27 P49:P54 P36:P47 AE5:AE57 AE63:AE69">
    <cfRule type="cellIs" dxfId="301" priority="50" operator="lessThan">
      <formula>0</formula>
    </cfRule>
  </conditionalFormatting>
  <conditionalFormatting sqref="AF60:AF61 Q56:Q57 Q60:Q69 Q5:Q9 Q13:Q15 Q21:Q54 AF5:AF57 AF63:AF69">
    <cfRule type="cellIs" dxfId="300" priority="47" operator="greaterThan">
      <formula>1</formula>
    </cfRule>
    <cfRule type="cellIs" dxfId="299" priority="48" operator="lessThan">
      <formula>0.8</formula>
    </cfRule>
  </conditionalFormatting>
  <conditionalFormatting sqref="AG14:AG15 R14:R15 AG60 AG56:AG57 R56:R57 R60:R69 AG5:AG9 R5:R9 R21:R54 AG21:AG54">
    <cfRule type="cellIs" dxfId="298" priority="52" operator="lessThan">
      <formula>0.8</formula>
    </cfRule>
  </conditionalFormatting>
  <conditionalFormatting sqref="AG44">
    <cfRule type="cellIs" dxfId="297" priority="54" operator="lessThan">
      <formula>0.8</formula>
    </cfRule>
  </conditionalFormatting>
  <conditionalFormatting sqref="AG22:AG27">
    <cfRule type="cellIs" dxfId="296" priority="51" operator="lessThan">
      <formula>0.8</formula>
    </cfRule>
  </conditionalFormatting>
  <conditionalFormatting sqref="AG29">
    <cfRule type="cellIs" dxfId="295" priority="53" operator="lessThan">
      <formula>0.8</formula>
    </cfRule>
  </conditionalFormatting>
  <conditionalFormatting sqref="AG36:AG42">
    <cfRule type="cellIs" dxfId="294" priority="49" operator="lessThan">
      <formula>0.8</formula>
    </cfRule>
  </conditionalFormatting>
  <conditionalFormatting sqref="AE62">
    <cfRule type="cellIs" dxfId="293" priority="45" operator="lessThan">
      <formula>0</formula>
    </cfRule>
  </conditionalFormatting>
  <conditionalFormatting sqref="AF62">
    <cfRule type="cellIs" dxfId="292" priority="43" operator="greaterThan">
      <formula>1</formula>
    </cfRule>
    <cfRule type="cellIs" dxfId="291" priority="44" operator="lessThan">
      <formula>0.8</formula>
    </cfRule>
  </conditionalFormatting>
  <conditionalFormatting sqref="O16:O17">
    <cfRule type="cellIs" dxfId="290" priority="38" operator="greaterThan">
      <formula>0</formula>
    </cfRule>
  </conditionalFormatting>
  <conditionalFormatting sqref="P16:P17">
    <cfRule type="cellIs" dxfId="289" priority="41" operator="lessThan">
      <formula>0</formula>
    </cfRule>
  </conditionalFormatting>
  <conditionalFormatting sqref="Q16:Q17">
    <cfRule type="cellIs" dxfId="288" priority="39" operator="greaterThan">
      <formula>1</formula>
    </cfRule>
    <cfRule type="cellIs" dxfId="287" priority="40" operator="lessThan">
      <formula>0.8</formula>
    </cfRule>
  </conditionalFormatting>
  <conditionalFormatting sqref="R16:R17 AG16:AG17">
    <cfRule type="cellIs" dxfId="286" priority="42" operator="lessThan">
      <formula>0.8</formula>
    </cfRule>
  </conditionalFormatting>
  <conditionalFormatting sqref="O10:O12">
    <cfRule type="cellIs" dxfId="285" priority="34" operator="greaterThan">
      <formula>0</formula>
    </cfRule>
  </conditionalFormatting>
  <conditionalFormatting sqref="P10:P12">
    <cfRule type="cellIs" dxfId="284" priority="37" operator="lessThan">
      <formula>0</formula>
    </cfRule>
  </conditionalFormatting>
  <conditionalFormatting sqref="Q10:Q12">
    <cfRule type="cellIs" dxfId="283" priority="35" operator="greaterThan">
      <formula>1</formula>
    </cfRule>
    <cfRule type="cellIs" dxfId="282" priority="36" operator="lessThan">
      <formula>0.8</formula>
    </cfRule>
  </conditionalFormatting>
  <conditionalFormatting sqref="O55">
    <cfRule type="cellIs" dxfId="281" priority="29" operator="greaterThan">
      <formula>0</formula>
    </cfRule>
  </conditionalFormatting>
  <conditionalFormatting sqref="P55">
    <cfRule type="cellIs" dxfId="280" priority="32" operator="lessThan">
      <formula>0</formula>
    </cfRule>
  </conditionalFormatting>
  <conditionalFormatting sqref="Q55">
    <cfRule type="cellIs" dxfId="279" priority="30" operator="greaterThan">
      <formula>1</formula>
    </cfRule>
    <cfRule type="cellIs" dxfId="278" priority="31" operator="lessThan">
      <formula>0.8</formula>
    </cfRule>
  </conditionalFormatting>
  <conditionalFormatting sqref="R55 AG55">
    <cfRule type="cellIs" dxfId="277" priority="33" operator="lessThan">
      <formula>0.8</formula>
    </cfRule>
  </conditionalFormatting>
  <conditionalFormatting sqref="O59">
    <cfRule type="cellIs" dxfId="276" priority="24" operator="greaterThan">
      <formula>0</formula>
    </cfRule>
  </conditionalFormatting>
  <conditionalFormatting sqref="P59 AE59">
    <cfRule type="cellIs" dxfId="275" priority="27" operator="lessThan">
      <formula>0</formula>
    </cfRule>
  </conditionalFormatting>
  <conditionalFormatting sqref="Q59 AF59">
    <cfRule type="cellIs" dxfId="274" priority="25" operator="greaterThan">
      <formula>1</formula>
    </cfRule>
    <cfRule type="cellIs" dxfId="273" priority="26" operator="lessThan">
      <formula>0.8</formula>
    </cfRule>
  </conditionalFormatting>
  <conditionalFormatting sqref="R59 AG59">
    <cfRule type="cellIs" dxfId="272" priority="28" operator="lessThan">
      <formula>0.8</formula>
    </cfRule>
  </conditionalFormatting>
  <conditionalFormatting sqref="O18:O19">
    <cfRule type="cellIs" dxfId="271" priority="19" operator="greaterThan">
      <formula>0</formula>
    </cfRule>
  </conditionalFormatting>
  <conditionalFormatting sqref="P18:P19">
    <cfRule type="cellIs" dxfId="270" priority="22" operator="lessThan">
      <formula>0</formula>
    </cfRule>
  </conditionalFormatting>
  <conditionalFormatting sqref="Q18:Q19">
    <cfRule type="cellIs" dxfId="269" priority="20" operator="greaterThan">
      <formula>1</formula>
    </cfRule>
    <cfRule type="cellIs" dxfId="268" priority="21" operator="lessThan">
      <formula>0.8</formula>
    </cfRule>
  </conditionalFormatting>
  <conditionalFormatting sqref="R18:R19 AG18:AG19">
    <cfRule type="cellIs" dxfId="267" priority="23" operator="lessThan">
      <formula>0.8</formula>
    </cfRule>
  </conditionalFormatting>
  <conditionalFormatting sqref="O58">
    <cfRule type="cellIs" dxfId="266" priority="14" operator="greaterThan">
      <formula>0</formula>
    </cfRule>
  </conditionalFormatting>
  <conditionalFormatting sqref="P58 AE58">
    <cfRule type="cellIs" dxfId="265" priority="17" operator="lessThan">
      <formula>0</formula>
    </cfRule>
  </conditionalFormatting>
  <conditionalFormatting sqref="Q58 AF58">
    <cfRule type="cellIs" dxfId="264" priority="15" operator="greaterThan">
      <formula>1</formula>
    </cfRule>
    <cfRule type="cellIs" dxfId="263" priority="16" operator="lessThan">
      <formula>0.8</formula>
    </cfRule>
  </conditionalFormatting>
  <conditionalFormatting sqref="R58 AG58">
    <cfRule type="cellIs" dxfId="262" priority="18" operator="lessThan">
      <formula>0.8</formula>
    </cfRule>
  </conditionalFormatting>
  <conditionalFormatting sqref="O20">
    <cfRule type="cellIs" dxfId="261" priority="9" operator="greaterThan">
      <formula>0</formula>
    </cfRule>
  </conditionalFormatting>
  <conditionalFormatting sqref="P20">
    <cfRule type="cellIs" dxfId="260" priority="12" operator="lessThan">
      <formula>0</formula>
    </cfRule>
  </conditionalFormatting>
  <conditionalFormatting sqref="Q20">
    <cfRule type="cellIs" dxfId="259" priority="10" operator="greaterThan">
      <formula>1</formula>
    </cfRule>
    <cfRule type="cellIs" dxfId="258" priority="11" operator="lessThan">
      <formula>0.8</formula>
    </cfRule>
  </conditionalFormatting>
  <conditionalFormatting sqref="AG20 R20">
    <cfRule type="cellIs" dxfId="257" priority="13" operator="lessThan">
      <formula>0.8</formula>
    </cfRule>
  </conditionalFormatting>
  <conditionalFormatting sqref="P8">
    <cfRule type="cellIs" dxfId="256" priority="8" operator="lessThan">
      <formula>0</formula>
    </cfRule>
  </conditionalFormatting>
  <conditionalFormatting sqref="P21">
    <cfRule type="cellIs" dxfId="255" priority="7" operator="lessThan">
      <formula>0</formula>
    </cfRule>
  </conditionalFormatting>
  <conditionalFormatting sqref="P28">
    <cfRule type="cellIs" dxfId="254" priority="6" operator="lessThan">
      <formula>0</formula>
    </cfRule>
  </conditionalFormatting>
  <conditionalFormatting sqref="P35">
    <cfRule type="cellIs" dxfId="253" priority="5" operator="lessThan">
      <formula>0</formula>
    </cfRule>
  </conditionalFormatting>
  <conditionalFormatting sqref="P48">
    <cfRule type="cellIs" dxfId="252" priority="4" operator="lessThan">
      <formula>0</formula>
    </cfRule>
  </conditionalFormatting>
  <conditionalFormatting sqref="P56">
    <cfRule type="cellIs" dxfId="251" priority="3" operator="lessThan">
      <formula>0</formula>
    </cfRule>
  </conditionalFormatting>
  <conditionalFormatting sqref="P62">
    <cfRule type="cellIs" dxfId="250" priority="2" operator="lessThan">
      <formula>0</formula>
    </cfRule>
  </conditionalFormatting>
  <conditionalFormatting sqref="P69">
    <cfRule type="cellIs" dxfId="249" priority="1" operator="lessThan">
      <formula>0</formula>
    </cfRule>
  </conditionalFormatting>
  <dataValidations count="1">
    <dataValidation type="list" allowBlank="1" showInputMessage="1" showErrorMessage="1" sqref="AB8 AA5:AB7 AB61 AB10:AB57 AA8:AA61 AA62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7" sqref="I7:J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280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281</v>
      </c>
      <c r="C3" s="601" t="str">
        <f>TEXT('0603 4度C'!A2,"yyyy.mm.ddaaaa")</f>
        <v>2026.06.03星期三</v>
      </c>
      <c r="D3" s="602"/>
      <c r="E3" s="39" t="s">
        <v>282</v>
      </c>
      <c r="F3" s="603">
        <f>'0603 4度C'!D1</f>
        <v>183173</v>
      </c>
      <c r="G3" s="604"/>
      <c r="H3" s="39" t="s">
        <v>283</v>
      </c>
      <c r="I3" s="605">
        <f>'0603 4度C'!F1</f>
        <v>6228317.4900000012</v>
      </c>
      <c r="J3" s="606"/>
      <c r="K3" s="40"/>
      <c r="L3" s="41"/>
      <c r="M3" s="42"/>
      <c r="N3" s="42"/>
    </row>
    <row r="4" spans="2:17" ht="28.5" customHeight="1">
      <c r="B4" s="607" t="s">
        <v>284</v>
      </c>
      <c r="C4" s="593" t="s">
        <v>285</v>
      </c>
      <c r="D4" s="594"/>
      <c r="E4" s="610" t="s">
        <v>286</v>
      </c>
      <c r="F4" s="611"/>
      <c r="G4" s="610" t="s">
        <v>287</v>
      </c>
      <c r="H4" s="611"/>
      <c r="I4" s="610" t="s">
        <v>288</v>
      </c>
      <c r="J4" s="611"/>
      <c r="K4" s="591" t="s">
        <v>97</v>
      </c>
      <c r="L4" s="592"/>
      <c r="M4" s="592" t="s">
        <v>289</v>
      </c>
      <c r="N4" s="592"/>
    </row>
    <row r="5" spans="2:17" ht="28.5" customHeight="1">
      <c r="B5" s="608"/>
      <c r="C5" s="593" t="s">
        <v>290</v>
      </c>
      <c r="D5" s="594"/>
      <c r="E5" s="593" t="s">
        <v>291</v>
      </c>
      <c r="F5" s="594"/>
      <c r="G5" s="595" t="s">
        <v>292</v>
      </c>
      <c r="H5" s="596"/>
      <c r="I5" s="597" t="s">
        <v>293</v>
      </c>
      <c r="J5" s="598"/>
      <c r="K5" s="43" t="s">
        <v>294</v>
      </c>
      <c r="L5" s="44" t="s">
        <v>295</v>
      </c>
      <c r="M5" s="43" t="s">
        <v>294</v>
      </c>
      <c r="N5" s="44" t="s">
        <v>296</v>
      </c>
    </row>
    <row r="6" spans="2:17" ht="28.5" customHeight="1">
      <c r="B6" s="608"/>
      <c r="C6" s="593" t="s">
        <v>58</v>
      </c>
      <c r="D6" s="594"/>
      <c r="E6" s="585">
        <f>AVERAGE(D13:M13)</f>
        <v>153.17062873862398</v>
      </c>
      <c r="F6" s="586">
        <f>AVERAGE(D31:O31,D13:J13)</f>
        <v>158.969457790934</v>
      </c>
      <c r="G6" s="587">
        <f>AVERAGE(D13:J13)</f>
        <v>158.969457790934</v>
      </c>
      <c r="H6" s="588"/>
      <c r="I6" s="587">
        <f>AVERAGE(K13:M13)</f>
        <v>139.64002761656721</v>
      </c>
      <c r="J6" s="588"/>
      <c r="K6" s="589">
        <f>'0603 4度C'!Y2</f>
        <v>0</v>
      </c>
      <c r="L6" s="574">
        <f>'0603 4度C'!Z2</f>
        <v>0</v>
      </c>
      <c r="M6" s="590">
        <f>'0603 4度C'!AC2</f>
        <v>56</v>
      </c>
      <c r="N6" s="574">
        <f>'0603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146.9803899585778</v>
      </c>
      <c r="F7" s="578">
        <f>AVERAGE(D32:O32,D14:J14)</f>
        <v>152.82882539163444</v>
      </c>
      <c r="G7" s="579">
        <f>AVERAGE(D14:J14)</f>
        <v>152.82882539163444</v>
      </c>
      <c r="H7" s="580"/>
      <c r="I7" s="579">
        <f>AVERAGE(K14:M14)</f>
        <v>133.33404061477901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0.95863650952142743</v>
      </c>
      <c r="F8" s="582">
        <f>AVERAGE(D15:J15,D33:O33)</f>
        <v>0.96023451559194295</v>
      </c>
      <c r="G8" s="583">
        <f>AVERAGE(D15:J15)</f>
        <v>0.96023451559194295</v>
      </c>
      <c r="H8" s="584"/>
      <c r="I8" s="583">
        <f>AVERAGE(K15:M15)</f>
        <v>0.95490782869022484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297</v>
      </c>
      <c r="N9" s="42"/>
      <c r="O9" s="42"/>
      <c r="P9" s="42"/>
      <c r="Q9" s="42"/>
    </row>
    <row r="10" spans="2:17" ht="30" customHeight="1">
      <c r="B10" s="557" t="s">
        <v>298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299</v>
      </c>
      <c r="L10" s="563"/>
      <c r="M10" s="564"/>
      <c r="P10" s="48"/>
      <c r="Q10" s="48"/>
    </row>
    <row r="11" spans="2:17" ht="17.25" customHeight="1">
      <c r="B11" s="565" t="s">
        <v>300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301</v>
      </c>
      <c r="C13" s="55" t="s">
        <v>302</v>
      </c>
      <c r="D13" s="56">
        <f>SUMIFS('0603 4度C'!$K:$K,'0603 4度C'!$A:$A,"新豐6線",'0603 4度C'!$B:$B,"平均")</f>
        <v>130.43478260869566</v>
      </c>
      <c r="E13" s="57">
        <f>SUMIFS('0603 4度C'!$K:$K,'0603 4度C'!$A:$A,"新豐2線",'0603 4度C'!$B:$B,"平均")</f>
        <v>85.22727272727272</v>
      </c>
      <c r="F13" s="58">
        <f>SUMIFS('0603 4度C'!$K:$K,'0603 4度C'!$A:$A,"新豐5線",'0603 4度C'!$B:$B,"平均")</f>
        <v>87.786259541984734</v>
      </c>
      <c r="G13" s="58">
        <f>SUMIFS('0603 4度C'!$K:$K,'0603 4度C'!$A:$A,"新豐7線",'0603 4度C'!$B:$B,"平均")</f>
        <v>125</v>
      </c>
      <c r="H13" s="58">
        <f>SUMIFS('0603 4度C'!$K:$K,'0603 4度C'!$A:$A,"新豐3線",'0603 4度C'!$B:$B,"平均")</f>
        <v>255.81395348837211</v>
      </c>
      <c r="I13" s="58">
        <f>SUMIFS('0603 4度C'!$K:$K,'0603 4度C'!$A:$A,"新豐1線",'0603 4度C'!$B:$B,"平均")</f>
        <v>109.375</v>
      </c>
      <c r="J13" s="59">
        <f>SUMIFS('0603 4度C'!$K:$K,'0603 4度C'!$A:$A,"新豐10線",'0603 4度C'!$B:$B,"平均")</f>
        <v>319.14893617021278</v>
      </c>
      <c r="K13" s="60">
        <f>SUMIFS('0603 4度C'!$K:$K,'0603 4度C'!$A:$A,"新豐8線",'0603 4度C'!$B:$B,"平均")</f>
        <v>138.46153846153848</v>
      </c>
      <c r="L13" s="61">
        <f>SUMIFS('0603 4度C'!$K:$K,'0603 4度C'!$A:$A,"新豐9線",'0603 4度C'!$B:$B,"平均")</f>
        <v>125.61983471074382</v>
      </c>
      <c r="M13" s="59">
        <f>SUMIFS('0603 4度C'!$K:$K,'0603 4度C'!$A:$A,"新豐4線",'0603 4度C'!$B:$B,"平均")</f>
        <v>154.83870967741936</v>
      </c>
    </row>
    <row r="14" spans="2:17" ht="39.6" customHeight="1">
      <c r="B14" s="570"/>
      <c r="C14" s="62" t="s">
        <v>303</v>
      </c>
      <c r="D14" s="63">
        <f>SUMIFS('0603 4度C'!$N:$N,'0603 4度C'!$A:$A,"新豐6線",'0603 4度C'!$B:$B,"平均")</f>
        <v>125.65281329923272</v>
      </c>
      <c r="E14" s="64">
        <f>SUMIFS('0603 4度C'!$N:$N,'0603 4度C'!$A:$A,"新豐2線",'0603 4度C'!$B:$B,"平均")</f>
        <v>81.503211182849199</v>
      </c>
      <c r="F14" s="64">
        <f>SUMIFS('0603 4度C'!$N:$N,'0603 4度C'!$A:$A,"新豐5線",'0603 4度C'!$B:$B,"平均")</f>
        <v>84.368404838971017</v>
      </c>
      <c r="G14" s="64">
        <f>SUMIFS('0603 4度C'!$N:$N,'0603 4度C'!$A:$A,"新豐7線",'0603 4度C'!$B:$B,"平均")</f>
        <v>119.5942639786342</v>
      </c>
      <c r="H14" s="64">
        <f>SUMIFS('0603 4度C'!$N:$N,'0603 4度C'!$A:$A,"新豐3線",'0603 4度C'!$B:$B,"平均")</f>
        <v>244.91012260298746</v>
      </c>
      <c r="I14" s="64">
        <f>SUMIFS('0603 4度C'!$N:$N,'0603 4度C'!$A:$A,"新豐1線",'0603 4度C'!$B:$B,"平均")</f>
        <v>104.88587998296929</v>
      </c>
      <c r="J14" s="65">
        <f>SUMIFS('0603 4度C'!$N:$N,'0603 4度C'!$A:$A,"新豐10線",'0603 4度C'!$B:$B,"平均")</f>
        <v>308.88708185579719</v>
      </c>
      <c r="K14" s="66">
        <f>SUMIFS('0603 4度C'!$N:$N,'0603 4度C'!$A:$A,"新豐8線",'0603 4度C'!$B:$B,"平均")</f>
        <v>132.31328370352318</v>
      </c>
      <c r="L14" s="67">
        <f>SUMIFS('0603 4度C'!$N:$N,'0603 4度C'!$A:$A,"新豐9線",'0603 4度C'!$B:$B,"平均")</f>
        <v>120.02705643785097</v>
      </c>
      <c r="M14" s="65">
        <f>SUMIFS('0603 4度C'!$N:$N,'0603 4度C'!$A:$A,"新豐4線",'0603 4度C'!$B:$B,"平均")</f>
        <v>147.66178170296286</v>
      </c>
    </row>
    <row r="15" spans="2:17" ht="40.15" customHeight="1">
      <c r="B15" s="571"/>
      <c r="C15" s="68" t="s">
        <v>304</v>
      </c>
      <c r="D15" s="69">
        <f t="shared" ref="D15:M15" si="0">D14/D13</f>
        <v>0.96333823529411744</v>
      </c>
      <c r="E15" s="70">
        <f t="shared" si="0"/>
        <v>0.95630434454543067</v>
      </c>
      <c r="F15" s="70">
        <f t="shared" si="0"/>
        <v>0.96106617686132201</v>
      </c>
      <c r="G15" s="70">
        <f t="shared" si="0"/>
        <v>0.95675411182907366</v>
      </c>
      <c r="H15" s="70">
        <f t="shared" si="0"/>
        <v>0.95737593381167818</v>
      </c>
      <c r="I15" s="70">
        <f t="shared" si="0"/>
        <v>0.95895661698714774</v>
      </c>
      <c r="J15" s="71">
        <f t="shared" si="0"/>
        <v>0.96784618981483117</v>
      </c>
      <c r="K15" s="69">
        <f t="shared" si="0"/>
        <v>0.95559593785877839</v>
      </c>
      <c r="L15" s="70">
        <f t="shared" si="0"/>
        <v>0.95547854138026089</v>
      </c>
      <c r="M15" s="71">
        <f t="shared" si="0"/>
        <v>0.95364900683163512</v>
      </c>
    </row>
    <row r="16" spans="2:17" ht="17.25" customHeight="1">
      <c r="B16" s="572" t="s">
        <v>305</v>
      </c>
      <c r="C16" s="72" t="s">
        <v>306</v>
      </c>
      <c r="D16" s="73">
        <f>VLOOKUP("新豐6線",'0603 4度C'!$A:$T,19,0)</f>
        <v>0.70833333333333337</v>
      </c>
      <c r="E16" s="74">
        <f>VLOOKUP("新豐2線",'0603 4度C'!$A:$T,19,0)</f>
        <v>8.3333333333333329E-2</v>
      </c>
      <c r="F16" s="74">
        <f>VLOOKUP("新豐5線",'0603 4度C'!$A:$T,19,0)</f>
        <v>8.3333333333333329E-2</v>
      </c>
      <c r="G16" s="74">
        <f>VLOOKUP("新豐7線",'0603 4度C'!$A:$T,19,0)</f>
        <v>0.20833333333333334</v>
      </c>
      <c r="H16" s="74">
        <f>VLOOKUP("新豐3線",'0603 4度C'!$A:$T,19,0)</f>
        <v>8.3333333333333329E-2</v>
      </c>
      <c r="I16" s="74">
        <f>VLOOKUP("新豐1線",'0603 4度C'!$A:$T,19,0)</f>
        <v>0.20833333333333334</v>
      </c>
      <c r="J16" s="75">
        <f>VLOOKUP("新豐10線",'0603 4度C'!$A:$T,19,0)</f>
        <v>0.20833333333333334</v>
      </c>
      <c r="K16" s="76">
        <f>VLOOKUP("新豐8線",'0603 4度C'!$A:$T,19,0)</f>
        <v>8.3333333333333329E-2</v>
      </c>
      <c r="L16" s="77">
        <f>VLOOKUP("新豐9線",'0603 4度C'!$A:$T,19,0)</f>
        <v>8.3333333333333329E-2</v>
      </c>
      <c r="M16" s="78">
        <f>VLOOKUP("新豐4線",'0603 4度C'!$A:$T,19,0)</f>
        <v>8.3333333333333329E-2</v>
      </c>
    </row>
    <row r="17" spans="2:13" ht="17.25" customHeight="1">
      <c r="B17" s="573"/>
      <c r="C17" s="72" t="s">
        <v>307</v>
      </c>
      <c r="D17" s="76">
        <f>LOOKUP(2,1/(('0603 4度C'!$A:$A="新豐6線")*('0603 4度C'!$T:$T&lt;&gt;"")),'0603 4度C'!$T:$T)</f>
        <v>0.83958333333333335</v>
      </c>
      <c r="E17" s="74">
        <f>LOOKUP(2,1/(('0603 4度C'!$A:$A="新豐2線")*('0603 4度C'!$T:$T&lt;&gt;"")),'0603 4度C'!$T:$T)</f>
        <v>0.65277777777777768</v>
      </c>
      <c r="F17" s="74">
        <f>LOOKUP(2,1/(('0603 4度C'!$A:$A="新豐5線")*('0603 4度C'!$T:$T&lt;&gt;"")),'0603 4度C'!$T:$T)</f>
        <v>0.81041666666666667</v>
      </c>
      <c r="G17" s="74">
        <f>LOOKUP(2,1/(('0603 4度C'!$A:$A="新豐7線")*('0603 4度C'!$T:$T&lt;&gt;"")),'0603 4度C'!$T:$T)</f>
        <v>0.80208333333333337</v>
      </c>
      <c r="H17" s="74">
        <f>LOOKUP(2,1/(('0603 4度C'!$A:$A="新豐3線")*('0603 4度C'!$T:$T&lt;&gt;"")),'0603 4度C'!$T:$T)</f>
        <v>0.3833333333333333</v>
      </c>
      <c r="I17" s="74">
        <f>LOOKUP(2,1/(('0603 4度C'!$A:$A="新豐1線")*('0603 4度C'!$T:$T&lt;&gt;"")),'0603 4度C'!$T:$T)</f>
        <v>0.82777777777777772</v>
      </c>
      <c r="J17" s="75">
        <f>LOOKUP(2,1/(('0603 4度C'!$A:$A="新豐10線")*('0603 4度C'!$T:$T&lt;&gt;"")),'0603 4度C'!$T:$T)</f>
        <v>0.39444444444444438</v>
      </c>
      <c r="K17" s="73">
        <f>LOOKUP(2,1/(('0603 4度C'!$A:$A="新豐8線")*('0603 4度C'!$T:$T&lt;&gt;"")),'0603 4度C'!$T:$T)</f>
        <v>0.70138888888888884</v>
      </c>
      <c r="L17" s="74">
        <f>LOOKUP(2,1/(('0603 4度C'!$A:$A="新豐9線")*('0603 4度C'!$T:$T&lt;&gt;"")),'0603 4度C'!$T:$T)</f>
        <v>0.71250000000000002</v>
      </c>
      <c r="M17" s="75">
        <f>LOOKUP(2,1/(('0603 4度C'!$A:$A="新豐4線")*('0603 4度C'!$T:$T&lt;&gt;"")),'0603 4度C'!$T:$T)</f>
        <v>0.67222222222222217</v>
      </c>
    </row>
    <row r="18" spans="2:13" ht="17.25" customHeight="1">
      <c r="B18" s="551" t="s">
        <v>308</v>
      </c>
      <c r="C18" s="79" t="s">
        <v>309</v>
      </c>
      <c r="D18" s="80">
        <f>SUMIFS('0603 4度C'!$Y:$Y,'0603 4度C'!$A:$A,"新豐6線",'0603 4度C'!$B:$B,"平均")</f>
        <v>0</v>
      </c>
      <c r="E18" s="81">
        <f>SUMIFS('0603 4度C'!$Y:$Y,'0603 4度C'!$A:$A,"新豐2線",'0603 4度C'!$B:$B,"平均")</f>
        <v>0</v>
      </c>
      <c r="F18" s="81">
        <f>SUMIFS('0603 4度C'!$Y:$Y,'0603 4度C'!$A:$A,"新豐5線",'0603 4度C'!$B:$B,"平均")</f>
        <v>0</v>
      </c>
      <c r="G18" s="81">
        <f>SUMIFS('0603 4度C'!$Y:$Y,'0603 4度C'!$A:$A,"新豐7線",'0603 4度C'!$B:$B,"平均")</f>
        <v>0</v>
      </c>
      <c r="H18" s="81">
        <f>SUMIFS('0603 4度C'!$Y:$Y,'0603 4度C'!$A:$A,"新豐3線",'0603 4度C'!$B:$B,"平均")</f>
        <v>0</v>
      </c>
      <c r="I18" s="81">
        <f>SUMIFS('0603 4度C'!$Y:$Y,'0603 4度C'!$A:$A,"新豐1線",'0603 4度C'!$B:$B,"平均")</f>
        <v>0</v>
      </c>
      <c r="J18" s="82">
        <f>SUMIFS('0603 4度C'!$Y:$Y,'0603 4度C'!$A:$A,"新豐10線",'0603 4度C'!$B:$B,"平均")</f>
        <v>0</v>
      </c>
      <c r="K18" s="83">
        <f>SUMIFS('0603 4度C'!$Y:$Y,'0603 4度C'!$A:$A,"新豐8線",'0603 4度C'!$B:$B,"平均")</f>
        <v>0</v>
      </c>
      <c r="L18" s="81">
        <f>SUMIFS('0603 4度C'!$Y:$Y,'0603 4度C'!$A:$A,"新豐9線",'0603 4度C'!$B:$B,"平均")</f>
        <v>0</v>
      </c>
      <c r="M18" s="82">
        <f>SUMIFS('0603 4度C'!$Y:$Y,'0603 4度C'!$A:$A,"新豐4線",'0603 4度C'!$B:$B,"平均")</f>
        <v>0</v>
      </c>
    </row>
    <row r="19" spans="2:13" ht="17.25" customHeight="1">
      <c r="B19" s="552"/>
      <c r="C19" s="79" t="s">
        <v>310</v>
      </c>
      <c r="D19" s="80">
        <f>SUMIFS('0603 4度C'!$Z:$Z,'0603 4度C'!$A:$A,"新豐6線",'0603 4度C'!$B:$B,"平均")</f>
        <v>0</v>
      </c>
      <c r="E19" s="81">
        <f>SUMIFS('0603 4度C'!$Z:$Z,'0603 4度C'!$A:$A,"新豐2線",'0603 4度C'!$B:$B,"平均")</f>
        <v>0</v>
      </c>
      <c r="F19" s="81">
        <f>SUMIFS('0603 4度C'!$Z:$Z,'0603 4度C'!$A:$A,"新豐5線",'0603 4度C'!$B:$B,"平均")</f>
        <v>0</v>
      </c>
      <c r="G19" s="81">
        <f>SUMIFS('0603 4度C'!$Z:$Z,'0603 4度C'!$A:$A,"新豐7線",'0603 4度C'!$B:$B,"平均")</f>
        <v>0</v>
      </c>
      <c r="H19" s="81">
        <f>SUMIFS('0603 4度C'!$Z:$Z,'0603 4度C'!$A:$A,"新豐3線",'0603 4度C'!$B:$B,"平均")</f>
        <v>0</v>
      </c>
      <c r="I19" s="81">
        <f>SUMIFS('0603 4度C'!$Z:$Z,'0603 4度C'!$A:$A,"新豐1線",'0603 4度C'!$B:$B,"平均")</f>
        <v>0</v>
      </c>
      <c r="J19" s="82">
        <f>SUMIFS('0603 4度C'!$Z:$Z,'0603 4度C'!$A:$A,"新豐10線",'0603 4度C'!$B:$B,"平均")</f>
        <v>0</v>
      </c>
      <c r="K19" s="83">
        <f>SUMIFS('0603 4度C'!$Z:$Z,'0603 4度C'!$A:$A,"新豐8線",'0603 4度C'!$B:$B,"平均")</f>
        <v>0</v>
      </c>
      <c r="L19" s="81">
        <f>SUMIFS('0603 4度C'!$Z:$Z,'0603 4度C'!$A:$A,"新豐9線",'0603 4度C'!$B:$B,"平均")</f>
        <v>0</v>
      </c>
      <c r="M19" s="82">
        <f>SUMIFS('0603 4度C'!$Z:$Z,'0603 4度C'!$A:$A,"新豐4線",'0603 4度C'!$B:$B,"平均")</f>
        <v>0</v>
      </c>
    </row>
    <row r="20" spans="2:13" ht="17.25" customHeight="1">
      <c r="B20" s="551" t="s">
        <v>311</v>
      </c>
      <c r="C20" s="79" t="s">
        <v>309</v>
      </c>
      <c r="D20" s="80">
        <f>SUMIFS('0603 4度C'!$AC:$AC,'0603 4度C'!$A:$A,"新豐6線",'0603 4度C'!$B:$B,"平均")</f>
        <v>3</v>
      </c>
      <c r="E20" s="81">
        <f>SUMIFS('0603 4度C'!$AC:$AC,'0603 4度C'!$A:$A,"新豐2線",'0603 4度C'!$B:$B,"平均")</f>
        <v>5</v>
      </c>
      <c r="F20" s="81">
        <f>SUMIFS('0603 4度C'!$AC:$AC,'0603 4度C'!$A:$A,"新豐5線",'0603 4度C'!$B:$B,"平均")</f>
        <v>7</v>
      </c>
      <c r="G20" s="81">
        <f>SUMIFS('0603 4度C'!$AC:$AC,'0603 4度C'!$A:$A,"新豐7線",'0603 4度C'!$B:$B,"平均")</f>
        <v>6</v>
      </c>
      <c r="H20" s="81">
        <f>SUMIFS('0603 4度C'!$AC:$AC,'0603 4度C'!$A:$A,"新豐3線",'0603 4度C'!$B:$B,"平均")</f>
        <v>4</v>
      </c>
      <c r="I20" s="81">
        <f>SUMIFS('0603 4度C'!$AC:$AC,'0603 4度C'!$A:$A,"新豐1線",'0603 4度C'!$B:$B,"平均")</f>
        <v>7</v>
      </c>
      <c r="J20" s="82">
        <f>SUMIFS('0603 4度C'!$AC:$AC,'0603 4度C'!$A:$A,"新豐10線",'0603 4度C'!$B:$B,"平均")</f>
        <v>5</v>
      </c>
      <c r="K20" s="83">
        <f>SUMIFS('0603 4度C'!$AC:$AC,'0603 4度C'!$A:$A,"新豐8線",'0603 4度C'!$B:$B,"平均")</f>
        <v>6</v>
      </c>
      <c r="L20" s="81">
        <f>SUMIFS('0603 4度C'!$AC:$AC,'0603 4度C'!$A:$A,"新豐9線",'0603 4度C'!$B:$B,"平均")</f>
        <v>7</v>
      </c>
      <c r="M20" s="82">
        <f>SUMIFS('0603 4度C'!$AC:$AC,'0603 4度C'!$A:$A,"新豐4線",'0603 4度C'!$B:$B,"平均")</f>
        <v>6</v>
      </c>
    </row>
    <row r="21" spans="2:13" ht="17.25" customHeight="1">
      <c r="B21" s="552"/>
      <c r="C21" s="79" t="s">
        <v>312</v>
      </c>
      <c r="D21" s="80">
        <f>SUMIFS('0603 4度C'!$AD:$AD,'0603 4度C'!$A:$A,"新豐6線",'0603 4度C'!$B:$B,"平均")</f>
        <v>0</v>
      </c>
      <c r="E21" s="81">
        <f>SUMIFS('0603 4度C'!$AD:$AD,'0603 4度C'!$A:$A,"新豐2線",'0603 4度C'!$B:$B,"平均")</f>
        <v>0</v>
      </c>
      <c r="F21" s="81">
        <f>SUMIFS('0603 4度C'!$AD:$AD,'0603 4度C'!$A:$A,"新豐5線",'0603 4度C'!$B:$B,"平均")</f>
        <v>0</v>
      </c>
      <c r="G21" s="81">
        <f>SUMIFS('0603 4度C'!$AD:$AD,'0603 4度C'!$A:$A,"新豐7線",'0603 4度C'!$B:$B,"平均")</f>
        <v>0</v>
      </c>
      <c r="H21" s="81">
        <f>SUMIFS('0603 4度C'!$AD:$AD,'0603 4度C'!$A:$A,"新豐3線",'0603 4度C'!$B:$B,"平均")</f>
        <v>0</v>
      </c>
      <c r="I21" s="81">
        <f>SUMIFS('0603 4度C'!$AD:$AD,'0603 4度C'!$A:$A,"新豐1線",'0603 4度C'!$B:$B,"平均")</f>
        <v>0</v>
      </c>
      <c r="J21" s="82">
        <f>SUMIFS('0603 4度C'!$AD:$AD,'0603 4度C'!$A:$A,"新豐10線",'0603 4度C'!$B:$B,"平均")</f>
        <v>0</v>
      </c>
      <c r="K21" s="83">
        <f>SUMIFS('0603 4度C'!$AD:$AD,'0603 4度C'!$A:$A,"新豐8線",'0603 4度C'!$B:$B,"平均")</f>
        <v>0</v>
      </c>
      <c r="L21" s="81">
        <f>SUMIFS('0603 4度C'!$AD:$AD,'0603 4度C'!$A:$A,"新豐9線",'0603 4度C'!$B:$B,"平均")</f>
        <v>0</v>
      </c>
      <c r="M21" s="82">
        <f>SUMIFS('0603 4度C'!$AD:$AD,'0603 4度C'!$A:$A,"新豐4線",'0603 4度C'!$B:$B,"平均")</f>
        <v>0</v>
      </c>
    </row>
    <row r="22" spans="2:13" ht="17.25" customHeight="1">
      <c r="B22" s="553" t="s">
        <v>313</v>
      </c>
      <c r="C22" s="554"/>
      <c r="D22" s="84">
        <f>SUMIFS('0603 4度C'!$I:$I,'0603 4度C'!$A:$A,"新豐6線",'0603 4度C'!$B:$B,"平均")</f>
        <v>15.333333333333334</v>
      </c>
      <c r="E22" s="85">
        <f>SUMIFS('0603 4度C'!$I:$I,'0603 4度C'!$A:$A,"新豐2線",'0603 4度C'!$B:$B,"平均")</f>
        <v>17.600000000000001</v>
      </c>
      <c r="F22" s="85">
        <f>SUMIFS('0603 4度C'!$I:$I,'0603 4度C'!$A:$A,"新豐5線",'0603 4度C'!$B:$B,"平均")</f>
        <v>18.714285714285715</v>
      </c>
      <c r="G22" s="85">
        <f>SUMIFS('0603 4度C'!$I:$I,'0603 4度C'!$A:$A,"新豐7線",'0603 4度C'!$B:$B,"平均")</f>
        <v>15.333333333333334</v>
      </c>
      <c r="H22" s="85">
        <f>SUMIFS('0603 4度C'!$I:$I,'0603 4度C'!$A:$A,"新豐3線",'0603 4度C'!$B:$B,"平均")</f>
        <v>10.75</v>
      </c>
      <c r="I22" s="85">
        <f>SUMIFS('0603 4度C'!$I:$I,'0603 4度C'!$A:$A,"新豐1線",'0603 4度C'!$B:$B,"平均")</f>
        <v>18.285714285714285</v>
      </c>
      <c r="J22" s="86">
        <f>SUMIFS('0603 4度C'!$I:$I,'0603 4度C'!$A:$A,"新豐10線",'0603 4度C'!$B:$B,"平均")</f>
        <v>9.4</v>
      </c>
      <c r="K22" s="84">
        <f>SUMIFS('0603 4度C'!$I:$I,'0603 4度C'!$A:$A,"新豐8線",'0603 4度C'!$B:$B,"平均")</f>
        <v>17.333333333333332</v>
      </c>
      <c r="L22" s="85">
        <f>SUMIFS('0603 4度C'!$I:$I,'0603 4度C'!$A:$A,"新豐9線",'0603 4度C'!$B:$B,"平均")</f>
        <v>17.285714285714285</v>
      </c>
      <c r="M22" s="86">
        <f>SUMIFS('0603 4度C'!$I:$I,'0603 4度C'!$A:$A,"新豐4線",'0603 4度C'!$B:$B,"平均")</f>
        <v>15.5</v>
      </c>
    </row>
    <row r="23" spans="2:13" ht="17.25" customHeight="1">
      <c r="B23" s="553" t="s">
        <v>314</v>
      </c>
      <c r="C23" s="554"/>
      <c r="D23" s="87" t="s">
        <v>71</v>
      </c>
      <c r="E23" s="88" t="s">
        <v>72</v>
      </c>
      <c r="F23" s="88" t="s">
        <v>315</v>
      </c>
      <c r="G23" s="88" t="s">
        <v>315</v>
      </c>
      <c r="H23" s="88" t="s">
        <v>73</v>
      </c>
      <c r="I23" s="88" t="s">
        <v>71</v>
      </c>
      <c r="J23" s="89" t="s">
        <v>73</v>
      </c>
      <c r="K23" s="87" t="s">
        <v>316</v>
      </c>
      <c r="L23" s="88" t="s">
        <v>316</v>
      </c>
      <c r="M23" s="89" t="s">
        <v>316</v>
      </c>
    </row>
    <row r="24" spans="2:13" ht="17.25" customHeight="1">
      <c r="B24" s="553" t="s">
        <v>317</v>
      </c>
      <c r="C24" s="554"/>
      <c r="D24" s="87"/>
      <c r="E24" s="88"/>
      <c r="F24" s="88" t="s">
        <v>318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319</v>
      </c>
      <c r="C25" s="556"/>
      <c r="D25" s="90"/>
      <c r="E25" s="91" t="s">
        <v>320</v>
      </c>
      <c r="F25" s="549" t="s">
        <v>321</v>
      </c>
      <c r="G25" s="550"/>
      <c r="H25" s="91" t="s">
        <v>322</v>
      </c>
      <c r="I25" s="91" t="s">
        <v>323</v>
      </c>
      <c r="J25" s="92" t="s">
        <v>322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4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1"/>
  <sheetViews>
    <sheetView topLeftCell="H1" zoomScale="80" zoomScaleNormal="80" workbookViewId="0">
      <pane ySplit="4" topLeftCell="A5" activePane="bottomLeft" state="frozen"/>
      <selection activeCell="I7" sqref="I7:J7"/>
      <selection pane="bottomLeft" activeCell="I7" sqref="I7:J7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324</v>
      </c>
      <c r="B1" s="1"/>
      <c r="C1" s="2" t="s">
        <v>325</v>
      </c>
      <c r="D1" s="3">
        <f>SUM(F5:F70)</f>
        <v>183173</v>
      </c>
      <c r="E1" s="129" t="s">
        <v>326</v>
      </c>
      <c r="F1" s="1">
        <f>SUM(G5:G70)</f>
        <v>6228317.4900000012</v>
      </c>
      <c r="G1" s="1" t="s">
        <v>327</v>
      </c>
      <c r="H1" s="4">
        <f>L8+L14+L49+L57+L22+L63+L36+L44+L29+L70</f>
        <v>155.53571428571431</v>
      </c>
      <c r="I1" s="663" t="s">
        <v>328</v>
      </c>
      <c r="J1" s="663"/>
      <c r="K1" s="663"/>
      <c r="L1" s="663" t="s">
        <v>329</v>
      </c>
      <c r="M1" s="663"/>
      <c r="N1" s="663"/>
      <c r="O1" s="663" t="s">
        <v>330</v>
      </c>
      <c r="P1" s="663"/>
      <c r="Q1" s="663"/>
      <c r="R1" s="663"/>
      <c r="S1" s="663" t="s">
        <v>331</v>
      </c>
      <c r="T1" s="663"/>
      <c r="U1" s="663"/>
      <c r="V1" s="663"/>
      <c r="W1" s="663"/>
      <c r="X1" s="663"/>
      <c r="Y1" s="5" t="s">
        <v>333</v>
      </c>
      <c r="Z1" s="6" t="s">
        <v>141</v>
      </c>
      <c r="AA1" s="664" t="s">
        <v>334</v>
      </c>
      <c r="AB1" s="664"/>
      <c r="AC1" s="94" t="s">
        <v>332</v>
      </c>
      <c r="AD1" s="6" t="s">
        <v>335</v>
      </c>
      <c r="AE1" s="663" t="s">
        <v>336</v>
      </c>
      <c r="AF1" s="665"/>
      <c r="AG1" s="665"/>
    </row>
    <row r="2" spans="1:33" ht="26.25" customHeight="1">
      <c r="A2" s="27">
        <v>46176</v>
      </c>
      <c r="B2" s="28" t="s">
        <v>337</v>
      </c>
      <c r="C2" s="2" t="s">
        <v>109</v>
      </c>
      <c r="D2" s="8">
        <f>AVERAGE(N8,N14,N49,N57,N22,N63,N29,N36,N44,N70)</f>
        <v>146.9803899585778</v>
      </c>
      <c r="E2" s="9" t="s">
        <v>0</v>
      </c>
      <c r="F2" s="10">
        <f>F1/D1</f>
        <v>34.002377479213649</v>
      </c>
      <c r="G2" s="1" t="s">
        <v>338</v>
      </c>
      <c r="H2" s="127">
        <f>COUNT(H5:H70)</f>
        <v>7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SUM(Y8+Y14+Y22+Y29+Y36+Y44+Y49+Y57+Y63+Y70)</f>
        <v>0</v>
      </c>
      <c r="Z2" s="11">
        <f>SUM(Z8+Z14+Z22+Z29+Z36+Z44+Z49+Z57+Z63+Z70)</f>
        <v>0</v>
      </c>
      <c r="AA2" s="664"/>
      <c r="AB2" s="664"/>
      <c r="AC2" s="95">
        <v>56</v>
      </c>
      <c r="AD2" s="11">
        <f>SUM(AD8+AD14+AD22+AD29+AD36+AD44+AD49+AD57+AD63+AD70)</f>
        <v>0</v>
      </c>
      <c r="AE2" s="665"/>
      <c r="AF2" s="665"/>
      <c r="AG2" s="665"/>
    </row>
    <row r="3" spans="1:33" ht="40.5" customHeight="1">
      <c r="A3" s="617" t="s">
        <v>339</v>
      </c>
      <c r="B3" s="617" t="s">
        <v>340</v>
      </c>
      <c r="C3" s="617" t="s">
        <v>341</v>
      </c>
      <c r="D3" s="617"/>
      <c r="E3" s="661" t="s">
        <v>150</v>
      </c>
      <c r="F3" s="617" t="s">
        <v>342</v>
      </c>
      <c r="G3" s="661" t="s">
        <v>152</v>
      </c>
      <c r="H3" s="654" t="s">
        <v>153</v>
      </c>
      <c r="I3" s="652" t="s">
        <v>343</v>
      </c>
      <c r="J3" s="649" t="s">
        <v>155</v>
      </c>
      <c r="K3" s="659" t="s">
        <v>109</v>
      </c>
      <c r="L3" s="652" t="s">
        <v>343</v>
      </c>
      <c r="M3" s="649" t="s">
        <v>344</v>
      </c>
      <c r="N3" s="659" t="s">
        <v>109</v>
      </c>
      <c r="O3" s="652" t="s">
        <v>343</v>
      </c>
      <c r="P3" s="659" t="s">
        <v>301</v>
      </c>
      <c r="Q3" s="650" t="s">
        <v>345</v>
      </c>
      <c r="R3" s="630" t="s">
        <v>157</v>
      </c>
      <c r="S3" s="660" t="s">
        <v>1</v>
      </c>
      <c r="T3" s="660"/>
      <c r="U3" s="654" t="s">
        <v>2</v>
      </c>
      <c r="V3" s="654" t="s">
        <v>346</v>
      </c>
      <c r="W3" s="617" t="s">
        <v>159</v>
      </c>
      <c r="X3" s="617"/>
      <c r="Y3" s="655" t="s">
        <v>347</v>
      </c>
      <c r="Z3" s="614"/>
      <c r="AA3" s="656" t="s">
        <v>161</v>
      </c>
      <c r="AB3" s="657"/>
      <c r="AC3" s="655" t="s">
        <v>348</v>
      </c>
      <c r="AD3" s="614"/>
      <c r="AE3" s="649" t="s">
        <v>344</v>
      </c>
      <c r="AF3" s="650" t="s">
        <v>156</v>
      </c>
      <c r="AG3" s="630" t="s">
        <v>349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133" t="s">
        <v>3</v>
      </c>
      <c r="T4" s="133" t="s">
        <v>4</v>
      </c>
      <c r="U4" s="654"/>
      <c r="V4" s="654"/>
      <c r="W4" s="129" t="s">
        <v>350</v>
      </c>
      <c r="X4" s="129" t="s">
        <v>351</v>
      </c>
      <c r="Y4" s="132" t="s">
        <v>352</v>
      </c>
      <c r="Z4" s="132" t="s">
        <v>353</v>
      </c>
      <c r="AA4" s="658"/>
      <c r="AB4" s="657"/>
      <c r="AC4" s="132" t="s">
        <v>354</v>
      </c>
      <c r="AD4" s="132" t="s">
        <v>355</v>
      </c>
      <c r="AE4" s="649"/>
      <c r="AF4" s="650"/>
      <c r="AG4" s="630"/>
    </row>
    <row r="5" spans="1:33">
      <c r="A5" s="651" t="s">
        <v>356</v>
      </c>
      <c r="B5" s="29" t="s">
        <v>15</v>
      </c>
      <c r="C5" s="653" t="s">
        <v>17</v>
      </c>
      <c r="D5" s="653"/>
      <c r="E5" s="29">
        <v>50.67</v>
      </c>
      <c r="F5" s="133">
        <v>1458</v>
      </c>
      <c r="G5" s="129">
        <f t="shared" ref="G5:G7" si="0">E5*F5</f>
        <v>73876.86</v>
      </c>
      <c r="H5" s="33" t="s">
        <v>57</v>
      </c>
      <c r="I5" s="128">
        <v>15</v>
      </c>
      <c r="J5" s="31">
        <v>2000</v>
      </c>
      <c r="K5" s="12">
        <f t="shared" ref="K5:K68" si="1">J5/I5</f>
        <v>133.33333333333334</v>
      </c>
      <c r="L5" s="128">
        <v>15</v>
      </c>
      <c r="M5" s="13">
        <f t="shared" ref="M5:M7" si="2">F5/V5*60</f>
        <v>1944</v>
      </c>
      <c r="N5" s="12">
        <f t="shared" ref="N5:N68" si="3">M5/L5</f>
        <v>129.6</v>
      </c>
      <c r="O5" s="14">
        <f t="shared" ref="O5:O68" si="4">L5-I5</f>
        <v>0</v>
      </c>
      <c r="P5" s="15">
        <f t="shared" ref="P5:P68" si="5">N5-K5</f>
        <v>-3.7333333333333485</v>
      </c>
      <c r="Q5" s="130">
        <f t="shared" ref="Q5:Q68" si="6">N5/K5</f>
        <v>0.97199999999999986</v>
      </c>
      <c r="R5" s="615">
        <f>Q8</f>
        <v>0.96333823529411744</v>
      </c>
      <c r="S5" s="34">
        <v>0.70833333333333337</v>
      </c>
      <c r="T5" s="34">
        <v>0.73958333333333337</v>
      </c>
      <c r="U5" s="129"/>
      <c r="V5" s="131">
        <f t="shared" ref="V5:V7" si="7">(T5-S5)*24*60</f>
        <v>45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6" si="8">M5-J5</f>
        <v>-56</v>
      </c>
      <c r="AF5" s="130">
        <f t="shared" ref="AF5:AF68" si="9">M5/J5</f>
        <v>0.97199999999999998</v>
      </c>
      <c r="AG5" s="615">
        <f>AF8</f>
        <v>0.96333823529411755</v>
      </c>
    </row>
    <row r="6" spans="1:33">
      <c r="A6" s="652" t="s">
        <v>356</v>
      </c>
      <c r="B6" s="29" t="s">
        <v>15</v>
      </c>
      <c r="C6" s="653" t="s">
        <v>26</v>
      </c>
      <c r="D6" s="653"/>
      <c r="E6" s="29">
        <v>50.92</v>
      </c>
      <c r="F6" s="133">
        <v>2040</v>
      </c>
      <c r="G6" s="129">
        <f t="shared" si="0"/>
        <v>103876.8</v>
      </c>
      <c r="H6" s="33" t="s">
        <v>57</v>
      </c>
      <c r="I6" s="128">
        <v>15</v>
      </c>
      <c r="J6" s="31">
        <v>2000</v>
      </c>
      <c r="K6" s="12">
        <f t="shared" si="1"/>
        <v>133.33333333333334</v>
      </c>
      <c r="L6" s="128">
        <v>15</v>
      </c>
      <c r="M6" s="13">
        <f t="shared" si="2"/>
        <v>1912.500000000002</v>
      </c>
      <c r="N6" s="12">
        <f t="shared" si="3"/>
        <v>127.50000000000014</v>
      </c>
      <c r="O6" s="14">
        <f t="shared" si="4"/>
        <v>0</v>
      </c>
      <c r="P6" s="15">
        <f t="shared" si="5"/>
        <v>-5.8333333333332007</v>
      </c>
      <c r="Q6" s="130">
        <f t="shared" si="6"/>
        <v>0.95625000000000104</v>
      </c>
      <c r="R6" s="615"/>
      <c r="S6" s="34">
        <v>0.74375000000000002</v>
      </c>
      <c r="T6" s="34">
        <v>0.78819444444444442</v>
      </c>
      <c r="U6" s="129">
        <f t="shared" ref="U6:U7" si="10">IF(S6=TIME(17,0,0),"",(S6-T5)*24*60)</f>
        <v>5.9999999999999787</v>
      </c>
      <c r="V6" s="131">
        <f t="shared" si="7"/>
        <v>63.999999999999929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-87.499999999997954</v>
      </c>
      <c r="AF6" s="130">
        <f t="shared" si="9"/>
        <v>0.95625000000000104</v>
      </c>
      <c r="AG6" s="615"/>
    </row>
    <row r="7" spans="1:33">
      <c r="A7" s="652" t="s">
        <v>356</v>
      </c>
      <c r="B7" s="29" t="s">
        <v>15</v>
      </c>
      <c r="C7" s="644" t="s">
        <v>31</v>
      </c>
      <c r="D7" s="645"/>
      <c r="E7" s="29">
        <v>50.98</v>
      </c>
      <c r="F7" s="133">
        <v>2180</v>
      </c>
      <c r="G7" s="129">
        <f t="shared" si="0"/>
        <v>111136.4</v>
      </c>
      <c r="H7" s="33" t="s">
        <v>57</v>
      </c>
      <c r="I7" s="128">
        <v>16</v>
      </c>
      <c r="J7" s="31">
        <v>2000</v>
      </c>
      <c r="K7" s="12">
        <f t="shared" si="1"/>
        <v>125</v>
      </c>
      <c r="L7" s="128">
        <v>16</v>
      </c>
      <c r="M7" s="13">
        <f t="shared" si="2"/>
        <v>1923.5294117647036</v>
      </c>
      <c r="N7" s="12">
        <f t="shared" si="3"/>
        <v>120.22058823529397</v>
      </c>
      <c r="O7" s="14">
        <f t="shared" si="4"/>
        <v>0</v>
      </c>
      <c r="P7" s="15">
        <f t="shared" si="5"/>
        <v>-4.7794117647060261</v>
      </c>
      <c r="Q7" s="130">
        <f t="shared" si="6"/>
        <v>0.96176470588235174</v>
      </c>
      <c r="R7" s="615"/>
      <c r="S7" s="34">
        <v>0.79236111111111107</v>
      </c>
      <c r="T7" s="34">
        <v>0.83958333333333335</v>
      </c>
      <c r="U7" s="129">
        <f t="shared" si="10"/>
        <v>5.9999999999999787</v>
      </c>
      <c r="V7" s="131">
        <f t="shared" si="7"/>
        <v>68.000000000000085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-76.470588235296418</v>
      </c>
      <c r="AF7" s="130">
        <f t="shared" si="9"/>
        <v>0.96176470588235174</v>
      </c>
      <c r="AG7" s="615"/>
    </row>
    <row r="8" spans="1:33">
      <c r="A8" s="652" t="s">
        <v>5</v>
      </c>
      <c r="B8" s="29" t="s">
        <v>357</v>
      </c>
      <c r="C8" s="618"/>
      <c r="D8" s="618"/>
      <c r="E8" s="136"/>
      <c r="F8" s="30"/>
      <c r="G8" s="12"/>
      <c r="H8" s="133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1926.6764705882351</v>
      </c>
      <c r="N8" s="12">
        <f t="shared" si="3"/>
        <v>125.65281329923272</v>
      </c>
      <c r="O8" s="14">
        <f t="shared" si="4"/>
        <v>0</v>
      </c>
      <c r="P8" s="15">
        <f t="shared" si="5"/>
        <v>-4.7819693094629372</v>
      </c>
      <c r="Q8" s="130">
        <f t="shared" si="6"/>
        <v>0.96333823529411744</v>
      </c>
      <c r="R8" s="615"/>
      <c r="S8" s="34"/>
      <c r="T8" s="34"/>
      <c r="U8" s="129"/>
      <c r="V8" s="131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-73.323529411764866</v>
      </c>
      <c r="AF8" s="130">
        <f t="shared" si="9"/>
        <v>0.96333823529411755</v>
      </c>
      <c r="AG8" s="615"/>
    </row>
    <row r="9" spans="1:33" ht="15.75" customHeight="1">
      <c r="A9" s="648" t="s">
        <v>358</v>
      </c>
      <c r="B9" s="29" t="s">
        <v>19</v>
      </c>
      <c r="C9" s="644" t="s">
        <v>20</v>
      </c>
      <c r="D9" s="645"/>
      <c r="E9" s="29">
        <v>39.619999999999997</v>
      </c>
      <c r="F9" s="133">
        <v>2700</v>
      </c>
      <c r="G9" s="129">
        <f t="shared" ref="G9:G13" si="11">E9*F9</f>
        <v>106974</v>
      </c>
      <c r="H9" s="33">
        <v>2</v>
      </c>
      <c r="I9" s="128">
        <v>19</v>
      </c>
      <c r="J9" s="31">
        <v>1500</v>
      </c>
      <c r="K9" s="12">
        <f t="shared" si="1"/>
        <v>78.94736842105263</v>
      </c>
      <c r="L9" s="128">
        <v>19</v>
      </c>
      <c r="M9" s="13">
        <f t="shared" ref="M9:M13" si="12">F9/V9*60</f>
        <v>1433.6283185840712</v>
      </c>
      <c r="N9" s="12">
        <f t="shared" si="3"/>
        <v>75.454122030740592</v>
      </c>
      <c r="O9" s="14">
        <f t="shared" si="4"/>
        <v>0</v>
      </c>
      <c r="P9" s="15">
        <f t="shared" si="5"/>
        <v>-3.4932463903120379</v>
      </c>
      <c r="Q9" s="130">
        <f t="shared" si="6"/>
        <v>0.95575221238938091</v>
      </c>
      <c r="R9" s="615">
        <f>Q14</f>
        <v>0.95630434454543067</v>
      </c>
      <c r="S9" s="34">
        <v>8.3333333333333329E-2</v>
      </c>
      <c r="T9" s="34">
        <v>0.16180555555555554</v>
      </c>
      <c r="U9" s="129"/>
      <c r="V9" s="131">
        <f t="shared" ref="V9:V13" si="13">(T9-S9)*24*60</f>
        <v>112.99999999999997</v>
      </c>
      <c r="W9" s="16">
        <f>T9</f>
        <v>0.16180555555555554</v>
      </c>
      <c r="X9" s="16">
        <f>S10</f>
        <v>0.17986111111111108</v>
      </c>
      <c r="Y9" s="16"/>
      <c r="Z9" s="16"/>
      <c r="AA9" s="617"/>
      <c r="AB9" s="617"/>
      <c r="AC9" s="35">
        <v>5</v>
      </c>
      <c r="AD9" s="18"/>
      <c r="AE9" s="14">
        <f t="shared" si="8"/>
        <v>-66.371681415928833</v>
      </c>
      <c r="AF9" s="130">
        <f t="shared" si="9"/>
        <v>0.9557522123893808</v>
      </c>
      <c r="AG9" s="615">
        <f>AF14</f>
        <v>0.95630434454543067</v>
      </c>
    </row>
    <row r="10" spans="1:33" ht="15.75" customHeight="1">
      <c r="A10" s="648" t="s">
        <v>7</v>
      </c>
      <c r="B10" s="29" t="s">
        <v>19</v>
      </c>
      <c r="C10" s="644" t="s">
        <v>21</v>
      </c>
      <c r="D10" s="645"/>
      <c r="E10" s="29">
        <v>39.799999999999997</v>
      </c>
      <c r="F10" s="133">
        <v>3900</v>
      </c>
      <c r="G10" s="129">
        <f t="shared" si="11"/>
        <v>155220</v>
      </c>
      <c r="H10" s="33">
        <v>2</v>
      </c>
      <c r="I10" s="128">
        <v>17</v>
      </c>
      <c r="J10" s="31">
        <v>1500</v>
      </c>
      <c r="K10" s="12">
        <f t="shared" si="1"/>
        <v>88.235294117647058</v>
      </c>
      <c r="L10" s="128">
        <v>17</v>
      </c>
      <c r="M10" s="13">
        <f t="shared" si="12"/>
        <v>1426.8292682926831</v>
      </c>
      <c r="N10" s="12">
        <f t="shared" si="3"/>
        <v>83.931133428981354</v>
      </c>
      <c r="O10" s="14">
        <f t="shared" si="4"/>
        <v>0</v>
      </c>
      <c r="P10" s="15">
        <f t="shared" si="5"/>
        <v>-4.3041606886657036</v>
      </c>
      <c r="Q10" s="130">
        <f t="shared" si="6"/>
        <v>0.95121951219512202</v>
      </c>
      <c r="R10" s="615"/>
      <c r="S10" s="34">
        <v>0.17986111111111108</v>
      </c>
      <c r="T10" s="34">
        <v>0.29374999999999996</v>
      </c>
      <c r="U10" s="129">
        <f t="shared" ref="U10:U13" si="14">IF(S10=TIME(17,0,0),"",(S10-T9)*24*60)</f>
        <v>25.999999999999986</v>
      </c>
      <c r="V10" s="131">
        <f t="shared" si="13"/>
        <v>163.99999999999997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-73.170731707316918</v>
      </c>
      <c r="AF10" s="130">
        <f t="shared" si="9"/>
        <v>0.95121951219512202</v>
      </c>
      <c r="AG10" s="615"/>
    </row>
    <row r="11" spans="1:33" ht="15.75" customHeight="1">
      <c r="A11" s="648" t="s">
        <v>7</v>
      </c>
      <c r="B11" s="29" t="s">
        <v>19</v>
      </c>
      <c r="C11" s="644" t="s">
        <v>83</v>
      </c>
      <c r="D11" s="645"/>
      <c r="E11" s="29">
        <v>39.46</v>
      </c>
      <c r="F11" s="133">
        <v>5718</v>
      </c>
      <c r="G11" s="129">
        <f t="shared" si="11"/>
        <v>225632.28</v>
      </c>
      <c r="H11" s="33" t="s">
        <v>57</v>
      </c>
      <c r="I11" s="128">
        <v>16</v>
      </c>
      <c r="J11" s="31">
        <v>1500</v>
      </c>
      <c r="K11" s="12">
        <f t="shared" si="1"/>
        <v>93.75</v>
      </c>
      <c r="L11" s="128">
        <v>16</v>
      </c>
      <c r="M11" s="13">
        <f t="shared" si="12"/>
        <v>1435.4811715481173</v>
      </c>
      <c r="N11" s="12">
        <f t="shared" si="3"/>
        <v>89.717573221757334</v>
      </c>
      <c r="O11" s="14">
        <f t="shared" si="4"/>
        <v>0</v>
      </c>
      <c r="P11" s="15">
        <f t="shared" si="5"/>
        <v>-4.0324267782426659</v>
      </c>
      <c r="Q11" s="130">
        <f t="shared" si="6"/>
        <v>0.95698744769874489</v>
      </c>
      <c r="R11" s="615"/>
      <c r="S11" s="34">
        <v>0.29861111111111105</v>
      </c>
      <c r="T11" s="34">
        <v>0.46458333333333324</v>
      </c>
      <c r="U11" s="129">
        <f t="shared" si="14"/>
        <v>6.9999999999999751</v>
      </c>
      <c r="V11" s="131">
        <f t="shared" si="13"/>
        <v>238.99999999999994</v>
      </c>
      <c r="W11" s="16">
        <f>T11</f>
        <v>0.46458333333333324</v>
      </c>
      <c r="X11" s="16">
        <f>S12</f>
        <v>0.50694444444444431</v>
      </c>
      <c r="Y11" s="16"/>
      <c r="Z11" s="16"/>
      <c r="AA11" s="617"/>
      <c r="AB11" s="617"/>
      <c r="AC11" s="35"/>
      <c r="AD11" s="18"/>
      <c r="AE11" s="14">
        <f t="shared" si="8"/>
        <v>-64.518828451882655</v>
      </c>
      <c r="AF11" s="130">
        <f t="shared" si="9"/>
        <v>0.95698744769874489</v>
      </c>
      <c r="AG11" s="615"/>
    </row>
    <row r="12" spans="1:33" ht="15.75" customHeight="1">
      <c r="A12" s="648" t="s">
        <v>7</v>
      </c>
      <c r="B12" s="29" t="s">
        <v>19</v>
      </c>
      <c r="C12" s="644" t="s">
        <v>21</v>
      </c>
      <c r="D12" s="645"/>
      <c r="E12" s="29">
        <v>39.799999999999997</v>
      </c>
      <c r="F12" s="133">
        <v>2822</v>
      </c>
      <c r="G12" s="129">
        <f t="shared" si="11"/>
        <v>112315.59999999999</v>
      </c>
      <c r="H12" s="33" t="s">
        <v>57</v>
      </c>
      <c r="I12" s="128">
        <v>17</v>
      </c>
      <c r="J12" s="31">
        <v>1500</v>
      </c>
      <c r="K12" s="12">
        <f t="shared" si="1"/>
        <v>88.235294117647058</v>
      </c>
      <c r="L12" s="128">
        <v>17</v>
      </c>
      <c r="M12" s="13">
        <f t="shared" si="12"/>
        <v>1434.9152542372874</v>
      </c>
      <c r="N12" s="12">
        <f t="shared" si="3"/>
        <v>84.406779661016913</v>
      </c>
      <c r="O12" s="14">
        <f t="shared" si="4"/>
        <v>0</v>
      </c>
      <c r="P12" s="15">
        <f t="shared" si="5"/>
        <v>-3.8285144566301454</v>
      </c>
      <c r="Q12" s="130">
        <f t="shared" si="6"/>
        <v>0.956610169491525</v>
      </c>
      <c r="R12" s="615"/>
      <c r="S12" s="34">
        <v>0.50694444444444431</v>
      </c>
      <c r="T12" s="34">
        <v>0.5888888888888888</v>
      </c>
      <c r="U12" s="129">
        <f t="shared" si="14"/>
        <v>60.999999999999943</v>
      </c>
      <c r="V12" s="131">
        <f t="shared" si="13"/>
        <v>118.00000000000006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-65.0847457627126</v>
      </c>
      <c r="AF12" s="130">
        <f t="shared" si="9"/>
        <v>0.95661016949152489</v>
      </c>
      <c r="AG12" s="615"/>
    </row>
    <row r="13" spans="1:33" ht="15.75" customHeight="1">
      <c r="A13" s="648" t="s">
        <v>7</v>
      </c>
      <c r="B13" s="29" t="s">
        <v>19</v>
      </c>
      <c r="C13" s="644" t="s">
        <v>20</v>
      </c>
      <c r="D13" s="645"/>
      <c r="E13" s="29">
        <v>39.619999999999997</v>
      </c>
      <c r="F13" s="133">
        <v>2018</v>
      </c>
      <c r="G13" s="129">
        <f t="shared" si="11"/>
        <v>79953.159999999989</v>
      </c>
      <c r="H13" s="33" t="s">
        <v>57</v>
      </c>
      <c r="I13" s="128">
        <v>19</v>
      </c>
      <c r="J13" s="31">
        <v>1500</v>
      </c>
      <c r="K13" s="12">
        <f t="shared" si="1"/>
        <v>78.94736842105263</v>
      </c>
      <c r="L13" s="128">
        <v>19</v>
      </c>
      <c r="M13" s="13">
        <f t="shared" si="12"/>
        <v>1441.4285714285709</v>
      </c>
      <c r="N13" s="12">
        <f t="shared" si="3"/>
        <v>75.864661654135304</v>
      </c>
      <c r="O13" s="14">
        <f t="shared" si="4"/>
        <v>0</v>
      </c>
      <c r="P13" s="15">
        <f t="shared" si="5"/>
        <v>-3.082706766917326</v>
      </c>
      <c r="Q13" s="130">
        <f t="shared" si="6"/>
        <v>0.96095238095238056</v>
      </c>
      <c r="R13" s="615"/>
      <c r="S13" s="34">
        <v>0.59444444444444433</v>
      </c>
      <c r="T13" s="34">
        <v>0.65277777777777768</v>
      </c>
      <c r="U13" s="129">
        <f t="shared" si="14"/>
        <v>7.9999999999999716</v>
      </c>
      <c r="V13" s="131">
        <f t="shared" si="13"/>
        <v>84.000000000000028</v>
      </c>
      <c r="W13" s="16"/>
      <c r="X13" s="16"/>
      <c r="Y13" s="19"/>
      <c r="Z13" s="19"/>
      <c r="AA13" s="624"/>
      <c r="AB13" s="625"/>
      <c r="AC13" s="35"/>
      <c r="AD13" s="18"/>
      <c r="AE13" s="14">
        <f t="shared" si="8"/>
        <v>-58.571428571429124</v>
      </c>
      <c r="AF13" s="130">
        <f t="shared" si="9"/>
        <v>0.96095238095238056</v>
      </c>
      <c r="AG13" s="615"/>
    </row>
    <row r="14" spans="1:33" ht="16.5" customHeight="1">
      <c r="A14" s="648" t="s">
        <v>358</v>
      </c>
      <c r="B14" s="29" t="s">
        <v>359</v>
      </c>
      <c r="C14" s="618"/>
      <c r="D14" s="618"/>
      <c r="E14" s="136"/>
      <c r="F14" s="31"/>
      <c r="G14" s="13"/>
      <c r="H14" s="133"/>
      <c r="I14" s="23">
        <v>17.600000000000001</v>
      </c>
      <c r="J14" s="31">
        <v>1500</v>
      </c>
      <c r="K14" s="12">
        <f t="shared" si="1"/>
        <v>85.22727272727272</v>
      </c>
      <c r="L14" s="23">
        <v>17.600000000000001</v>
      </c>
      <c r="M14" s="13">
        <f>AVERAGE(M9:M13)</f>
        <v>1434.4565168181459</v>
      </c>
      <c r="N14" s="12">
        <f t="shared" si="3"/>
        <v>81.503211182849199</v>
      </c>
      <c r="O14" s="14">
        <f t="shared" si="4"/>
        <v>0</v>
      </c>
      <c r="P14" s="15">
        <f t="shared" si="5"/>
        <v>-3.7240615444235203</v>
      </c>
      <c r="Q14" s="130">
        <f t="shared" si="6"/>
        <v>0.95630434454543067</v>
      </c>
      <c r="R14" s="615"/>
      <c r="S14" s="34"/>
      <c r="T14" s="34"/>
      <c r="U14" s="12"/>
      <c r="V14" s="131"/>
      <c r="W14" s="12"/>
      <c r="X14" s="12"/>
      <c r="Y14" s="24">
        <f>SUM(Y9:Y13)</f>
        <v>0</v>
      </c>
      <c r="Z14" s="24">
        <f>SUM(Z9:Z13)</f>
        <v>0</v>
      </c>
      <c r="AA14" s="614"/>
      <c r="AB14" s="614"/>
      <c r="AC14" s="24">
        <v>5</v>
      </c>
      <c r="AD14" s="24">
        <f>SUM(AD9:AD13)</f>
        <v>0</v>
      </c>
      <c r="AE14" s="14">
        <f t="shared" si="8"/>
        <v>-65.543483181854072</v>
      </c>
      <c r="AF14" s="130">
        <f t="shared" si="9"/>
        <v>0.95630434454543067</v>
      </c>
      <c r="AG14" s="615"/>
    </row>
    <row r="15" spans="1:33" ht="16.5" customHeight="1">
      <c r="A15" s="646" t="s">
        <v>8</v>
      </c>
      <c r="B15" s="133" t="s">
        <v>22</v>
      </c>
      <c r="C15" s="640" t="s">
        <v>23</v>
      </c>
      <c r="D15" s="640"/>
      <c r="E15" s="29">
        <v>41</v>
      </c>
      <c r="F15" s="133">
        <v>1913</v>
      </c>
      <c r="G15" s="129">
        <f t="shared" ref="G15:G21" si="15">E15*F15</f>
        <v>78433</v>
      </c>
      <c r="H15" s="33" t="s">
        <v>57</v>
      </c>
      <c r="I15" s="128">
        <v>26</v>
      </c>
      <c r="J15" s="31">
        <v>1500</v>
      </c>
      <c r="K15" s="12">
        <f t="shared" si="1"/>
        <v>57.692307692307693</v>
      </c>
      <c r="L15" s="128">
        <v>26</v>
      </c>
      <c r="M15" s="13">
        <f t="shared" ref="M15:M21" si="16">F15/V15*60</f>
        <v>1434.7499999999995</v>
      </c>
      <c r="N15" s="12">
        <f t="shared" si="3"/>
        <v>55.182692307692292</v>
      </c>
      <c r="O15" s="14">
        <f t="shared" si="4"/>
        <v>0</v>
      </c>
      <c r="P15" s="15">
        <f t="shared" si="5"/>
        <v>-2.509615384615401</v>
      </c>
      <c r="Q15" s="130">
        <f t="shared" si="6"/>
        <v>0.95649999999999968</v>
      </c>
      <c r="R15" s="615">
        <f>Q22</f>
        <v>0.96106617686132201</v>
      </c>
      <c r="S15" s="34">
        <v>8.3333333333333329E-2</v>
      </c>
      <c r="T15" s="34">
        <v>0.1388888888888889</v>
      </c>
      <c r="U15" s="129"/>
      <c r="V15" s="131">
        <f t="shared" ref="V15:V21" si="17">(T15-S15)*24*60</f>
        <v>80.000000000000014</v>
      </c>
      <c r="W15" s="16">
        <f>T15</f>
        <v>0.1388888888888889</v>
      </c>
      <c r="X15" s="16">
        <f>S16</f>
        <v>0.15833333333333333</v>
      </c>
      <c r="Y15" s="21"/>
      <c r="Z15" s="21"/>
      <c r="AA15" s="617"/>
      <c r="AB15" s="617"/>
      <c r="AC15" s="35">
        <v>7</v>
      </c>
      <c r="AD15" s="18"/>
      <c r="AE15" s="14">
        <f t="shared" si="8"/>
        <v>-65.250000000000455</v>
      </c>
      <c r="AF15" s="130">
        <f t="shared" si="9"/>
        <v>0.95649999999999968</v>
      </c>
      <c r="AG15" s="615">
        <f>AF22</f>
        <v>0.96106617686132212</v>
      </c>
    </row>
    <row r="16" spans="1:33" ht="16.5" customHeight="1">
      <c r="A16" s="647" t="s">
        <v>8</v>
      </c>
      <c r="B16" s="133" t="s">
        <v>22</v>
      </c>
      <c r="C16" s="640" t="s">
        <v>87</v>
      </c>
      <c r="D16" s="640"/>
      <c r="E16" s="29">
        <v>38.619999999999997</v>
      </c>
      <c r="F16" s="133">
        <v>2230</v>
      </c>
      <c r="G16" s="129">
        <f t="shared" si="15"/>
        <v>86122.599999999991</v>
      </c>
      <c r="H16" s="33" t="s">
        <v>57</v>
      </c>
      <c r="I16" s="128">
        <v>24</v>
      </c>
      <c r="J16" s="31">
        <v>1500</v>
      </c>
      <c r="K16" s="12">
        <f t="shared" si="1"/>
        <v>62.5</v>
      </c>
      <c r="L16" s="128">
        <v>24</v>
      </c>
      <c r="M16" s="13">
        <f t="shared" si="16"/>
        <v>1438.7096774193551</v>
      </c>
      <c r="N16" s="12">
        <f t="shared" si="3"/>
        <v>59.946236559139798</v>
      </c>
      <c r="O16" s="14">
        <f t="shared" si="4"/>
        <v>0</v>
      </c>
      <c r="P16" s="15">
        <f t="shared" si="5"/>
        <v>-2.5537634408602017</v>
      </c>
      <c r="Q16" s="130">
        <f t="shared" si="6"/>
        <v>0.95913978494623675</v>
      </c>
      <c r="R16" s="615"/>
      <c r="S16" s="34">
        <v>0.15833333333333333</v>
      </c>
      <c r="T16" s="34">
        <v>0.22291666666666665</v>
      </c>
      <c r="U16" s="129">
        <f t="shared" ref="U16:U21" si="18">IF(S16=TIME(17,0,0),"",(S16-T15)*24*60)</f>
        <v>27.999999999999979</v>
      </c>
      <c r="V16" s="131">
        <f t="shared" si="17"/>
        <v>92.999999999999986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-61.290322580644897</v>
      </c>
      <c r="AF16" s="130">
        <f t="shared" si="9"/>
        <v>0.95913978494623675</v>
      </c>
      <c r="AG16" s="615"/>
    </row>
    <row r="17" spans="1:33" ht="16.5" customHeight="1">
      <c r="A17" s="647" t="s">
        <v>8</v>
      </c>
      <c r="B17" s="133" t="s">
        <v>15</v>
      </c>
      <c r="C17" s="640" t="s">
        <v>86</v>
      </c>
      <c r="D17" s="640"/>
      <c r="E17" s="29">
        <v>37.03</v>
      </c>
      <c r="F17" s="133">
        <v>3062</v>
      </c>
      <c r="G17" s="129">
        <f t="shared" si="15"/>
        <v>113385.86</v>
      </c>
      <c r="H17" s="33" t="s">
        <v>57</v>
      </c>
      <c r="I17" s="128">
        <v>13</v>
      </c>
      <c r="J17" s="31">
        <v>1500</v>
      </c>
      <c r="K17" s="12">
        <f t="shared" si="1"/>
        <v>115.38461538461539</v>
      </c>
      <c r="L17" s="128">
        <v>13</v>
      </c>
      <c r="M17" s="13">
        <f t="shared" si="16"/>
        <v>1435.3125000000002</v>
      </c>
      <c r="N17" s="12">
        <f t="shared" si="3"/>
        <v>110.40865384615387</v>
      </c>
      <c r="O17" s="14">
        <f t="shared" si="4"/>
        <v>0</v>
      </c>
      <c r="P17" s="15">
        <f t="shared" si="5"/>
        <v>-4.9759615384615188</v>
      </c>
      <c r="Q17" s="130">
        <f t="shared" si="6"/>
        <v>0.95687500000000014</v>
      </c>
      <c r="R17" s="615"/>
      <c r="S17" s="34">
        <v>0.22847222222222222</v>
      </c>
      <c r="T17" s="34">
        <v>0.31736111111111109</v>
      </c>
      <c r="U17" s="129">
        <f t="shared" si="18"/>
        <v>8.0000000000000107</v>
      </c>
      <c r="V17" s="131">
        <f t="shared" si="17"/>
        <v>127.99999999999997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-64.687499999999773</v>
      </c>
      <c r="AF17" s="130">
        <f t="shared" si="9"/>
        <v>0.95687500000000014</v>
      </c>
      <c r="AG17" s="615"/>
    </row>
    <row r="18" spans="1:33" ht="16.5" customHeight="1">
      <c r="A18" s="647" t="s">
        <v>8</v>
      </c>
      <c r="B18" s="133" t="s">
        <v>19</v>
      </c>
      <c r="C18" s="640" t="s">
        <v>267</v>
      </c>
      <c r="D18" s="640"/>
      <c r="E18" s="29">
        <v>39.520000000000003</v>
      </c>
      <c r="F18" s="133">
        <v>5748</v>
      </c>
      <c r="G18" s="129">
        <f t="shared" si="15"/>
        <v>227160.96000000002</v>
      </c>
      <c r="H18" s="33" t="s">
        <v>57</v>
      </c>
      <c r="I18" s="128">
        <v>19</v>
      </c>
      <c r="J18" s="31">
        <v>1500</v>
      </c>
      <c r="K18" s="12">
        <f t="shared" si="1"/>
        <v>78.94736842105263</v>
      </c>
      <c r="L18" s="128">
        <v>19</v>
      </c>
      <c r="M18" s="13">
        <f t="shared" si="16"/>
        <v>1431.0373443983406</v>
      </c>
      <c r="N18" s="12">
        <f t="shared" si="3"/>
        <v>75.317754968333716</v>
      </c>
      <c r="O18" s="14">
        <f t="shared" si="4"/>
        <v>0</v>
      </c>
      <c r="P18" s="15">
        <f t="shared" si="5"/>
        <v>-3.6296134527189139</v>
      </c>
      <c r="Q18" s="130">
        <f t="shared" si="6"/>
        <v>0.95402489626556042</v>
      </c>
      <c r="R18" s="615"/>
      <c r="S18" s="34">
        <v>0.32291666666666663</v>
      </c>
      <c r="T18" s="34">
        <v>0.4902777777777777</v>
      </c>
      <c r="U18" s="129">
        <f t="shared" si="18"/>
        <v>7.9999999999999716</v>
      </c>
      <c r="V18" s="131">
        <f t="shared" si="17"/>
        <v>240.99999999999994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-68.962655601659435</v>
      </c>
      <c r="AF18" s="130">
        <f t="shared" si="9"/>
        <v>0.95402489626556042</v>
      </c>
      <c r="AG18" s="615"/>
    </row>
    <row r="19" spans="1:33" ht="16.5" customHeight="1">
      <c r="A19" s="647" t="s">
        <v>8</v>
      </c>
      <c r="B19" s="133" t="s">
        <v>15</v>
      </c>
      <c r="C19" s="640" t="s">
        <v>25</v>
      </c>
      <c r="D19" s="640"/>
      <c r="E19" s="29">
        <v>53.68</v>
      </c>
      <c r="F19" s="133">
        <v>1060</v>
      </c>
      <c r="G19" s="129">
        <f t="shared" si="15"/>
        <v>56900.800000000003</v>
      </c>
      <c r="H19" s="33" t="s">
        <v>57</v>
      </c>
      <c r="I19" s="128">
        <v>16</v>
      </c>
      <c r="J19" s="31">
        <v>1500</v>
      </c>
      <c r="K19" s="12">
        <f t="shared" si="1"/>
        <v>93.75</v>
      </c>
      <c r="L19" s="128">
        <v>16</v>
      </c>
      <c r="M19" s="13">
        <f t="shared" si="16"/>
        <v>1445.4545454545455</v>
      </c>
      <c r="N19" s="12">
        <f t="shared" si="3"/>
        <v>90.340909090909093</v>
      </c>
      <c r="O19" s="14">
        <f t="shared" si="4"/>
        <v>0</v>
      </c>
      <c r="P19" s="15">
        <f t="shared" si="5"/>
        <v>-3.4090909090909065</v>
      </c>
      <c r="Q19" s="130">
        <f t="shared" si="6"/>
        <v>0.96363636363636362</v>
      </c>
      <c r="R19" s="615"/>
      <c r="S19" s="34">
        <v>0.70833333333333337</v>
      </c>
      <c r="T19" s="34">
        <v>0.73888888888888893</v>
      </c>
      <c r="U19" s="129" t="str">
        <f t="shared" si="18"/>
        <v/>
      </c>
      <c r="V19" s="131">
        <f t="shared" si="17"/>
        <v>44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-54.545454545454504</v>
      </c>
      <c r="AF19" s="130">
        <f t="shared" si="9"/>
        <v>0.96363636363636362</v>
      </c>
      <c r="AG19" s="615"/>
    </row>
    <row r="20" spans="1:33" ht="16.5" customHeight="1">
      <c r="A20" s="647" t="s">
        <v>8</v>
      </c>
      <c r="B20" s="133" t="s">
        <v>15</v>
      </c>
      <c r="C20" s="137" t="s">
        <v>18</v>
      </c>
      <c r="D20" s="138"/>
      <c r="E20" s="29">
        <v>52.86</v>
      </c>
      <c r="F20" s="133">
        <v>1482</v>
      </c>
      <c r="G20" s="129">
        <f t="shared" si="15"/>
        <v>78338.52</v>
      </c>
      <c r="H20" s="33" t="s">
        <v>57</v>
      </c>
      <c r="I20" s="128">
        <v>16</v>
      </c>
      <c r="J20" s="31">
        <v>2000</v>
      </c>
      <c r="K20" s="12">
        <f t="shared" si="1"/>
        <v>125</v>
      </c>
      <c r="L20" s="128">
        <v>16</v>
      </c>
      <c r="M20" s="13">
        <f t="shared" si="16"/>
        <v>1933.0434782608697</v>
      </c>
      <c r="N20" s="12">
        <f t="shared" si="3"/>
        <v>120.81521739130436</v>
      </c>
      <c r="O20" s="14">
        <f t="shared" si="4"/>
        <v>0</v>
      </c>
      <c r="P20" s="15">
        <f t="shared" si="5"/>
        <v>-4.1847826086956417</v>
      </c>
      <c r="Q20" s="130">
        <f t="shared" si="6"/>
        <v>0.96652173913043482</v>
      </c>
      <c r="R20" s="615"/>
      <c r="S20" s="34">
        <v>0.74305555555555558</v>
      </c>
      <c r="T20" s="34">
        <v>0.77500000000000002</v>
      </c>
      <c r="U20" s="129">
        <f t="shared" si="18"/>
        <v>5.9999999999999787</v>
      </c>
      <c r="V20" s="131">
        <f t="shared" si="17"/>
        <v>46</v>
      </c>
      <c r="W20" s="16"/>
      <c r="X20" s="16"/>
      <c r="Y20" s="19"/>
      <c r="Z20" s="19"/>
      <c r="AA20" s="134"/>
      <c r="AB20" s="135"/>
      <c r="AC20" s="35"/>
      <c r="AD20" s="18"/>
      <c r="AE20" s="14">
        <f t="shared" si="8"/>
        <v>-66.956521739130267</v>
      </c>
      <c r="AF20" s="130">
        <f t="shared" si="9"/>
        <v>0.96652173913043482</v>
      </c>
      <c r="AG20" s="615"/>
    </row>
    <row r="21" spans="1:33" ht="16.5" customHeight="1">
      <c r="A21" s="647" t="s">
        <v>8</v>
      </c>
      <c r="B21" s="133" t="s">
        <v>15</v>
      </c>
      <c r="C21" s="137" t="s">
        <v>16</v>
      </c>
      <c r="D21" s="138"/>
      <c r="E21" s="29">
        <v>50.67</v>
      </c>
      <c r="F21" s="133">
        <v>1386</v>
      </c>
      <c r="G21" s="129">
        <f t="shared" si="15"/>
        <v>70228.62</v>
      </c>
      <c r="H21" s="33" t="s">
        <v>57</v>
      </c>
      <c r="I21" s="128">
        <v>17</v>
      </c>
      <c r="J21" s="31">
        <v>2000</v>
      </c>
      <c r="K21" s="12">
        <f t="shared" si="1"/>
        <v>117.64705882352941</v>
      </c>
      <c r="L21" s="128">
        <v>17</v>
      </c>
      <c r="M21" s="13">
        <f t="shared" si="16"/>
        <v>1933.9534883720928</v>
      </c>
      <c r="N21" s="12">
        <f t="shared" si="3"/>
        <v>113.76196990424076</v>
      </c>
      <c r="O21" s="14">
        <f t="shared" si="4"/>
        <v>0</v>
      </c>
      <c r="P21" s="15">
        <f t="shared" si="5"/>
        <v>-3.8850889192886484</v>
      </c>
      <c r="Q21" s="130">
        <f t="shared" si="6"/>
        <v>0.96697674418604651</v>
      </c>
      <c r="R21" s="615"/>
      <c r="S21" s="34">
        <v>0.78055555555555556</v>
      </c>
      <c r="T21" s="34">
        <v>0.81041666666666667</v>
      </c>
      <c r="U21" s="129">
        <f t="shared" si="18"/>
        <v>7.9999999999999716</v>
      </c>
      <c r="V21" s="131">
        <f t="shared" si="17"/>
        <v>43.000000000000007</v>
      </c>
      <c r="W21" s="16"/>
      <c r="X21" s="16"/>
      <c r="Y21" s="19"/>
      <c r="Z21" s="19"/>
      <c r="AA21" s="134"/>
      <c r="AB21" s="135"/>
      <c r="AC21" s="35"/>
      <c r="AD21" s="18"/>
      <c r="AE21" s="14">
        <f t="shared" si="8"/>
        <v>-66.046511627907194</v>
      </c>
      <c r="AF21" s="130">
        <f t="shared" si="9"/>
        <v>0.9669767441860464</v>
      </c>
      <c r="AG21" s="615"/>
    </row>
    <row r="22" spans="1:33" ht="16.5" customHeight="1">
      <c r="A22" s="647" t="s">
        <v>360</v>
      </c>
      <c r="B22" s="29" t="s">
        <v>6</v>
      </c>
      <c r="C22" s="618"/>
      <c r="D22" s="618"/>
      <c r="E22" s="136"/>
      <c r="F22" s="30"/>
      <c r="G22" s="12"/>
      <c r="H22" s="133"/>
      <c r="I22" s="23">
        <v>18.714285714285715</v>
      </c>
      <c r="J22" s="31">
        <v>1642.8571428571429</v>
      </c>
      <c r="K22" s="12">
        <f t="shared" si="1"/>
        <v>87.786259541984734</v>
      </c>
      <c r="L22" s="23">
        <v>18.714285714285715</v>
      </c>
      <c r="M22" s="13">
        <f>AVERAGE(M15:M21)</f>
        <v>1578.8944334150292</v>
      </c>
      <c r="N22" s="12">
        <f t="shared" si="3"/>
        <v>84.368404838971017</v>
      </c>
      <c r="O22" s="14">
        <f t="shared" si="4"/>
        <v>0</v>
      </c>
      <c r="P22" s="15">
        <f t="shared" si="5"/>
        <v>-3.4178547030137167</v>
      </c>
      <c r="Q22" s="130">
        <f t="shared" si="6"/>
        <v>0.96106617686132201</v>
      </c>
      <c r="R22" s="615"/>
      <c r="S22" s="34"/>
      <c r="T22" s="34"/>
      <c r="U22" s="129"/>
      <c r="V22" s="131"/>
      <c r="W22" s="12"/>
      <c r="X22" s="12"/>
      <c r="Y22" s="24">
        <f>SUM(Y15:Y21)</f>
        <v>0</v>
      </c>
      <c r="Z22" s="24">
        <f>SUM(Z15:Z21)</f>
        <v>0</v>
      </c>
      <c r="AA22" s="614"/>
      <c r="AB22" s="614"/>
      <c r="AC22" s="24">
        <v>7</v>
      </c>
      <c r="AD22" s="24">
        <f>SUM(AD15:AD21)</f>
        <v>0</v>
      </c>
      <c r="AE22" s="14">
        <f t="shared" si="8"/>
        <v>-63.962709442113692</v>
      </c>
      <c r="AF22" s="130">
        <f t="shared" si="9"/>
        <v>0.96106617686132212</v>
      </c>
      <c r="AG22" s="615"/>
    </row>
    <row r="23" spans="1:33" ht="15.75" customHeight="1">
      <c r="A23" s="642" t="s">
        <v>9</v>
      </c>
      <c r="B23" s="29" t="s">
        <v>15</v>
      </c>
      <c r="C23" s="640" t="s">
        <v>24</v>
      </c>
      <c r="D23" s="640"/>
      <c r="E23" s="29">
        <v>54.09</v>
      </c>
      <c r="F23" s="133">
        <v>1551</v>
      </c>
      <c r="G23" s="129">
        <f t="shared" ref="G23:G28" si="19">E23*F23</f>
        <v>83893.590000000011</v>
      </c>
      <c r="H23" s="33" t="s">
        <v>57</v>
      </c>
      <c r="I23" s="128">
        <v>17</v>
      </c>
      <c r="J23" s="31">
        <v>1500</v>
      </c>
      <c r="K23" s="12">
        <f t="shared" si="1"/>
        <v>88.235294117647058</v>
      </c>
      <c r="L23" s="128">
        <v>17</v>
      </c>
      <c r="M23" s="13">
        <f t="shared" ref="M23:M28" si="20">F23/V23*60</f>
        <v>1431.6923076923083</v>
      </c>
      <c r="N23" s="12">
        <f t="shared" si="3"/>
        <v>84.217194570135788</v>
      </c>
      <c r="O23" s="14">
        <f t="shared" si="4"/>
        <v>0</v>
      </c>
      <c r="P23" s="15">
        <f t="shared" si="5"/>
        <v>-4.0180995475112695</v>
      </c>
      <c r="Q23" s="130">
        <f t="shared" si="6"/>
        <v>0.95446153846153892</v>
      </c>
      <c r="R23" s="615">
        <f>Q29</f>
        <v>0.95675411182907366</v>
      </c>
      <c r="S23" s="34">
        <v>0.20833333333333334</v>
      </c>
      <c r="T23" s="34">
        <v>0.25347222222222221</v>
      </c>
      <c r="U23" s="129"/>
      <c r="V23" s="131">
        <f t="shared" ref="V23:V28" si="21">(T23-S23)*24*60</f>
        <v>64.999999999999972</v>
      </c>
      <c r="W23" s="21"/>
      <c r="X23" s="21"/>
      <c r="Y23" s="21"/>
      <c r="Z23" s="21"/>
      <c r="AA23" s="617"/>
      <c r="AB23" s="617"/>
      <c r="AC23" s="35">
        <v>6</v>
      </c>
      <c r="AD23" s="18"/>
      <c r="AE23" s="14">
        <f t="shared" si="8"/>
        <v>-68.307692307691696</v>
      </c>
      <c r="AF23" s="130">
        <f t="shared" si="9"/>
        <v>0.95446153846153892</v>
      </c>
      <c r="AG23" s="615">
        <f>AF29</f>
        <v>0.95675411182907366</v>
      </c>
    </row>
    <row r="24" spans="1:33" ht="15.75" customHeight="1">
      <c r="A24" s="643" t="s">
        <v>9</v>
      </c>
      <c r="B24" s="29" t="s">
        <v>15</v>
      </c>
      <c r="C24" s="640" t="s">
        <v>28</v>
      </c>
      <c r="D24" s="640"/>
      <c r="E24" s="29">
        <v>50.67</v>
      </c>
      <c r="F24" s="133">
        <v>1989</v>
      </c>
      <c r="G24" s="129">
        <f t="shared" si="19"/>
        <v>100782.63</v>
      </c>
      <c r="H24" s="33" t="s">
        <v>57</v>
      </c>
      <c r="I24" s="128">
        <v>17</v>
      </c>
      <c r="J24" s="31">
        <v>2000</v>
      </c>
      <c r="K24" s="12">
        <f t="shared" si="1"/>
        <v>117.64705882352941</v>
      </c>
      <c r="L24" s="128">
        <v>17</v>
      </c>
      <c r="M24" s="13">
        <f t="shared" si="20"/>
        <v>1924.8387096774188</v>
      </c>
      <c r="N24" s="12">
        <f t="shared" si="3"/>
        <v>113.22580645161287</v>
      </c>
      <c r="O24" s="14">
        <f t="shared" si="4"/>
        <v>0</v>
      </c>
      <c r="P24" s="15">
        <f t="shared" si="5"/>
        <v>-4.4212523719165375</v>
      </c>
      <c r="Q24" s="130">
        <f t="shared" si="6"/>
        <v>0.96241935483870944</v>
      </c>
      <c r="R24" s="615"/>
      <c r="S24" s="34">
        <v>0.25902777777777775</v>
      </c>
      <c r="T24" s="34">
        <v>0.30208333333333331</v>
      </c>
      <c r="U24" s="129">
        <f t="shared" ref="U24:U28" si="22">IF(S24=TIME(17,0,0),"",(S24-T23)*24*60)</f>
        <v>7.9999999999999716</v>
      </c>
      <c r="V24" s="131">
        <f t="shared" si="21"/>
        <v>62.000000000000021</v>
      </c>
      <c r="W24" s="16"/>
      <c r="X24" s="129"/>
      <c r="Y24" s="129"/>
      <c r="Z24" s="129"/>
      <c r="AA24" s="617"/>
      <c r="AB24" s="617"/>
      <c r="AC24" s="35"/>
      <c r="AD24" s="18"/>
      <c r="AE24" s="14">
        <f t="shared" si="8"/>
        <v>-75.161290322581181</v>
      </c>
      <c r="AF24" s="130">
        <f t="shared" si="9"/>
        <v>0.96241935483870944</v>
      </c>
      <c r="AG24" s="615"/>
    </row>
    <row r="25" spans="1:33" ht="15.75" customHeight="1">
      <c r="A25" s="643" t="s">
        <v>9</v>
      </c>
      <c r="B25" s="29" t="s">
        <v>15</v>
      </c>
      <c r="C25" s="640" t="s">
        <v>29</v>
      </c>
      <c r="D25" s="640"/>
      <c r="E25" s="29">
        <v>57.73</v>
      </c>
      <c r="F25" s="133">
        <v>2228</v>
      </c>
      <c r="G25" s="129">
        <f t="shared" si="19"/>
        <v>128622.43999999999</v>
      </c>
      <c r="H25" s="33" t="s">
        <v>57</v>
      </c>
      <c r="I25" s="128">
        <v>14</v>
      </c>
      <c r="J25" s="31">
        <v>2000</v>
      </c>
      <c r="K25" s="12">
        <f t="shared" si="1"/>
        <v>142.85714285714286</v>
      </c>
      <c r="L25" s="128">
        <v>14</v>
      </c>
      <c r="M25" s="13">
        <f t="shared" si="20"/>
        <v>1909.7142857142862</v>
      </c>
      <c r="N25" s="12">
        <f t="shared" si="3"/>
        <v>136.40816326530617</v>
      </c>
      <c r="O25" s="14">
        <f t="shared" si="4"/>
        <v>0</v>
      </c>
      <c r="P25" s="15">
        <f t="shared" si="5"/>
        <v>-6.4489795918366895</v>
      </c>
      <c r="Q25" s="130">
        <f t="shared" si="6"/>
        <v>0.95485714285714318</v>
      </c>
      <c r="R25" s="615"/>
      <c r="S25" s="34">
        <v>0.30763888888888885</v>
      </c>
      <c r="T25" s="34">
        <v>0.35624999999999996</v>
      </c>
      <c r="U25" s="129">
        <f t="shared" si="22"/>
        <v>7.9999999999999716</v>
      </c>
      <c r="V25" s="131">
        <f t="shared" si="21"/>
        <v>69.999999999999986</v>
      </c>
      <c r="W25" s="16"/>
      <c r="X25" s="129"/>
      <c r="Y25" s="129"/>
      <c r="Z25" s="129"/>
      <c r="AA25" s="617"/>
      <c r="AB25" s="617"/>
      <c r="AC25" s="35"/>
      <c r="AD25" s="18"/>
      <c r="AE25" s="14">
        <f t="shared" si="8"/>
        <v>-90.285714285713766</v>
      </c>
      <c r="AF25" s="130">
        <f t="shared" si="9"/>
        <v>0.95485714285714307</v>
      </c>
      <c r="AG25" s="615"/>
    </row>
    <row r="26" spans="1:33" ht="15.75" customHeight="1">
      <c r="A26" s="643" t="s">
        <v>9</v>
      </c>
      <c r="B26" s="29" t="s">
        <v>15</v>
      </c>
      <c r="C26" s="640" t="s">
        <v>80</v>
      </c>
      <c r="D26" s="640"/>
      <c r="E26" s="29">
        <v>53.27</v>
      </c>
      <c r="F26" s="133">
        <v>1813</v>
      </c>
      <c r="G26" s="129">
        <f t="shared" si="19"/>
        <v>96578.510000000009</v>
      </c>
      <c r="H26" s="33" t="s">
        <v>57</v>
      </c>
      <c r="I26" s="128">
        <v>16</v>
      </c>
      <c r="J26" s="31">
        <v>2000</v>
      </c>
      <c r="K26" s="12">
        <f t="shared" si="1"/>
        <v>125</v>
      </c>
      <c r="L26" s="128">
        <v>16</v>
      </c>
      <c r="M26" s="13">
        <f t="shared" si="20"/>
        <v>1908.4210526315803</v>
      </c>
      <c r="N26" s="12">
        <f t="shared" si="3"/>
        <v>119.27631578947377</v>
      </c>
      <c r="O26" s="14">
        <f t="shared" si="4"/>
        <v>0</v>
      </c>
      <c r="P26" s="15">
        <f t="shared" si="5"/>
        <v>-5.7236842105262298</v>
      </c>
      <c r="Q26" s="130">
        <f t="shared" si="6"/>
        <v>0.95421052631579018</v>
      </c>
      <c r="R26" s="615"/>
      <c r="S26" s="34">
        <v>0.36111111111111105</v>
      </c>
      <c r="T26" s="34">
        <v>0.40069444444444435</v>
      </c>
      <c r="U26" s="129">
        <f t="shared" si="22"/>
        <v>6.9999999999999751</v>
      </c>
      <c r="V26" s="131">
        <f t="shared" si="21"/>
        <v>56.999999999999957</v>
      </c>
      <c r="W26" s="16"/>
      <c r="X26" s="129"/>
      <c r="Y26" s="129"/>
      <c r="Z26" s="129"/>
      <c r="AA26" s="617"/>
      <c r="AB26" s="617"/>
      <c r="AC26" s="35"/>
      <c r="AD26" s="18"/>
      <c r="AE26" s="14">
        <f t="shared" si="8"/>
        <v>-91.578947368419676</v>
      </c>
      <c r="AF26" s="130">
        <f t="shared" si="9"/>
        <v>0.95421052631579018</v>
      </c>
      <c r="AG26" s="615"/>
    </row>
    <row r="27" spans="1:33" ht="15.75" customHeight="1">
      <c r="A27" s="643" t="s">
        <v>9</v>
      </c>
      <c r="B27" s="29" t="s">
        <v>15</v>
      </c>
      <c r="C27" s="640" t="s">
        <v>30</v>
      </c>
      <c r="D27" s="640"/>
      <c r="E27" s="29">
        <v>50.49</v>
      </c>
      <c r="F27" s="133">
        <v>1811</v>
      </c>
      <c r="G27" s="129">
        <f t="shared" si="19"/>
        <v>91437.39</v>
      </c>
      <c r="H27" s="33" t="s">
        <v>57</v>
      </c>
      <c r="I27" s="128">
        <v>15</v>
      </c>
      <c r="J27" s="31">
        <v>2000</v>
      </c>
      <c r="K27" s="12">
        <f t="shared" si="1"/>
        <v>133.33333333333334</v>
      </c>
      <c r="L27" s="128">
        <v>15</v>
      </c>
      <c r="M27" s="13">
        <f t="shared" si="20"/>
        <v>1906.3157894736858</v>
      </c>
      <c r="N27" s="12">
        <f t="shared" si="3"/>
        <v>127.08771929824572</v>
      </c>
      <c r="O27" s="14">
        <f t="shared" si="4"/>
        <v>0</v>
      </c>
      <c r="P27" s="15">
        <f t="shared" si="5"/>
        <v>-6.2456140350876268</v>
      </c>
      <c r="Q27" s="130">
        <f t="shared" si="6"/>
        <v>0.95315789473684276</v>
      </c>
      <c r="R27" s="615"/>
      <c r="S27" s="34">
        <v>0.70833333333333337</v>
      </c>
      <c r="T27" s="34">
        <v>0.74791666666666667</v>
      </c>
      <c r="U27" s="129" t="str">
        <f t="shared" si="22"/>
        <v/>
      </c>
      <c r="V27" s="131">
        <f t="shared" si="21"/>
        <v>56.999999999999957</v>
      </c>
      <c r="W27" s="16"/>
      <c r="X27" s="16"/>
      <c r="Y27" s="129"/>
      <c r="Z27" s="129"/>
      <c r="AA27" s="617"/>
      <c r="AB27" s="617"/>
      <c r="AC27" s="35"/>
      <c r="AD27" s="18"/>
      <c r="AE27" s="14">
        <f t="shared" si="8"/>
        <v>-93.684210526314246</v>
      </c>
      <c r="AF27" s="130">
        <f t="shared" si="9"/>
        <v>0.95315789473684287</v>
      </c>
      <c r="AG27" s="615"/>
    </row>
    <row r="28" spans="1:33" ht="15.75" customHeight="1">
      <c r="A28" s="643" t="s">
        <v>9</v>
      </c>
      <c r="B28" s="29" t="s">
        <v>15</v>
      </c>
      <c r="C28" s="640" t="s">
        <v>85</v>
      </c>
      <c r="D28" s="640"/>
      <c r="E28" s="29">
        <v>56.43</v>
      </c>
      <c r="F28" s="133">
        <v>2274</v>
      </c>
      <c r="G28" s="129">
        <f t="shared" si="19"/>
        <v>128321.81999999999</v>
      </c>
      <c r="H28" s="33" t="s">
        <v>57</v>
      </c>
      <c r="I28" s="128">
        <v>13</v>
      </c>
      <c r="J28" s="31">
        <v>2000</v>
      </c>
      <c r="K28" s="12">
        <f t="shared" si="1"/>
        <v>153.84615384615384</v>
      </c>
      <c r="L28" s="128">
        <v>13</v>
      </c>
      <c r="M28" s="13">
        <f t="shared" si="20"/>
        <v>1921.6901408450685</v>
      </c>
      <c r="N28" s="12">
        <f t="shared" si="3"/>
        <v>147.82231852654374</v>
      </c>
      <c r="O28" s="14">
        <f t="shared" si="4"/>
        <v>0</v>
      </c>
      <c r="P28" s="15">
        <f t="shared" si="5"/>
        <v>-6.0238353196101002</v>
      </c>
      <c r="Q28" s="130">
        <f t="shared" si="6"/>
        <v>0.96084507042253431</v>
      </c>
      <c r="R28" s="615"/>
      <c r="S28" s="34">
        <v>0.75277777777777777</v>
      </c>
      <c r="T28" s="34">
        <v>0.80208333333333337</v>
      </c>
      <c r="U28" s="129">
        <f t="shared" si="22"/>
        <v>6.9999999999999751</v>
      </c>
      <c r="V28" s="131">
        <f t="shared" si="21"/>
        <v>71.000000000000071</v>
      </c>
      <c r="W28" s="16"/>
      <c r="X28" s="21"/>
      <c r="Y28" s="21"/>
      <c r="Z28" s="21"/>
      <c r="AA28" s="617"/>
      <c r="AB28" s="617"/>
      <c r="AC28" s="35"/>
      <c r="AD28" s="18"/>
      <c r="AE28" s="14">
        <f t="shared" si="8"/>
        <v>-78.309859154931473</v>
      </c>
      <c r="AF28" s="130">
        <f t="shared" si="9"/>
        <v>0.96084507042253431</v>
      </c>
      <c r="AG28" s="615"/>
    </row>
    <row r="29" spans="1:33" ht="15.75" customHeight="1">
      <c r="A29" s="643" t="s">
        <v>9</v>
      </c>
      <c r="B29" s="29" t="s">
        <v>6</v>
      </c>
      <c r="C29" s="618"/>
      <c r="D29" s="618"/>
      <c r="E29" s="136"/>
      <c r="F29" s="133"/>
      <c r="G29" s="129"/>
      <c r="H29" s="133"/>
      <c r="I29" s="23">
        <v>15.333333333333334</v>
      </c>
      <c r="J29" s="31">
        <v>1916.6666666666667</v>
      </c>
      <c r="K29" s="12">
        <f t="shared" si="1"/>
        <v>125</v>
      </c>
      <c r="L29" s="23">
        <v>15.333333333333334</v>
      </c>
      <c r="M29" s="13">
        <f>AVERAGE(M23:M28)</f>
        <v>1833.7787143390578</v>
      </c>
      <c r="N29" s="12">
        <f t="shared" si="3"/>
        <v>119.5942639786342</v>
      </c>
      <c r="O29" s="14">
        <f t="shared" si="4"/>
        <v>0</v>
      </c>
      <c r="P29" s="15">
        <f t="shared" si="5"/>
        <v>-5.4057360213657972</v>
      </c>
      <c r="Q29" s="130">
        <f t="shared" si="6"/>
        <v>0.95675411182907366</v>
      </c>
      <c r="R29" s="615"/>
      <c r="S29" s="34"/>
      <c r="T29" s="34"/>
      <c r="U29" s="12"/>
      <c r="V29" s="131"/>
      <c r="W29" s="12"/>
      <c r="X29" s="12"/>
      <c r="Y29" s="24">
        <f>SUM(Y23:Y28)</f>
        <v>0</v>
      </c>
      <c r="Z29" s="24">
        <f>SUM(Z23:Z28)</f>
        <v>0</v>
      </c>
      <c r="AA29" s="614"/>
      <c r="AB29" s="614"/>
      <c r="AC29" s="24">
        <v>6</v>
      </c>
      <c r="AD29" s="24">
        <f>SUM(AD23:AD28)</f>
        <v>0</v>
      </c>
      <c r="AE29" s="14">
        <f t="shared" si="8"/>
        <v>-82.8879523276089</v>
      </c>
      <c r="AF29" s="130">
        <f t="shared" si="9"/>
        <v>0.95675411182907366</v>
      </c>
      <c r="AG29" s="615"/>
    </row>
    <row r="30" spans="1:33" ht="15.75" customHeight="1">
      <c r="A30" s="641" t="s">
        <v>361</v>
      </c>
      <c r="B30" s="29" t="s">
        <v>32</v>
      </c>
      <c r="C30" s="640" t="s">
        <v>33</v>
      </c>
      <c r="D30" s="640"/>
      <c r="E30" s="29">
        <v>31.29</v>
      </c>
      <c r="F30" s="133">
        <v>6000</v>
      </c>
      <c r="G30" s="129">
        <f t="shared" ref="G30:G35" si="23">E30*F30</f>
        <v>187740</v>
      </c>
      <c r="H30" s="33">
        <v>2</v>
      </c>
      <c r="I30" s="128">
        <v>18</v>
      </c>
      <c r="J30" s="31">
        <v>2400</v>
      </c>
      <c r="K30" s="12">
        <f t="shared" si="1"/>
        <v>133.33333333333334</v>
      </c>
      <c r="L30" s="128">
        <v>18</v>
      </c>
      <c r="M30" s="13">
        <f t="shared" ref="M30:M35" si="24">F30/V30*60</f>
        <v>2292.993630573249</v>
      </c>
      <c r="N30" s="12">
        <f t="shared" si="3"/>
        <v>127.38853503184717</v>
      </c>
      <c r="O30" s="14">
        <f t="shared" si="4"/>
        <v>0</v>
      </c>
      <c r="P30" s="15">
        <f t="shared" si="5"/>
        <v>-5.9447983014861734</v>
      </c>
      <c r="Q30" s="130">
        <f t="shared" si="6"/>
        <v>0.95541401273885374</v>
      </c>
      <c r="R30" s="615">
        <f>Q36</f>
        <v>0.95559593785877839</v>
      </c>
      <c r="S30" s="34">
        <v>8.3333333333333329E-2</v>
      </c>
      <c r="T30" s="34">
        <v>0.19236111111111109</v>
      </c>
      <c r="U30" s="129"/>
      <c r="V30" s="131">
        <f t="shared" ref="V30:V35" si="25">(T30-S30)*24*60</f>
        <v>156.99999999999997</v>
      </c>
      <c r="W30" s="16">
        <f>T30</f>
        <v>0.19236111111111109</v>
      </c>
      <c r="X30" s="16">
        <f>S31</f>
        <v>0.21319444444444444</v>
      </c>
      <c r="Y30" s="16"/>
      <c r="Z30" s="16"/>
      <c r="AA30" s="617"/>
      <c r="AB30" s="617"/>
      <c r="AC30" s="35">
        <v>6</v>
      </c>
      <c r="AD30" s="18"/>
      <c r="AE30" s="14">
        <f t="shared" si="8"/>
        <v>-107.00636942675101</v>
      </c>
      <c r="AF30" s="130">
        <f t="shared" si="9"/>
        <v>0.95541401273885374</v>
      </c>
      <c r="AG30" s="615">
        <f>AF36</f>
        <v>0.95559593785877861</v>
      </c>
    </row>
    <row r="31" spans="1:33" ht="15.75" customHeight="1">
      <c r="A31" s="641" t="s">
        <v>10</v>
      </c>
      <c r="B31" s="29" t="s">
        <v>32</v>
      </c>
      <c r="C31" s="640" t="s">
        <v>34</v>
      </c>
      <c r="D31" s="640"/>
      <c r="E31" s="29">
        <v>26.37</v>
      </c>
      <c r="F31" s="133">
        <v>6919</v>
      </c>
      <c r="G31" s="129">
        <f t="shared" si="23"/>
        <v>182454.03</v>
      </c>
      <c r="H31" s="33" t="s">
        <v>57</v>
      </c>
      <c r="I31" s="128">
        <v>18</v>
      </c>
      <c r="J31" s="31">
        <v>2400</v>
      </c>
      <c r="K31" s="12">
        <f t="shared" si="1"/>
        <v>133.33333333333334</v>
      </c>
      <c r="L31" s="128">
        <v>18</v>
      </c>
      <c r="M31" s="13">
        <f t="shared" si="24"/>
        <v>2293.5911602209935</v>
      </c>
      <c r="N31" s="12">
        <f t="shared" si="3"/>
        <v>127.42173112338853</v>
      </c>
      <c r="O31" s="14">
        <f t="shared" si="4"/>
        <v>0</v>
      </c>
      <c r="P31" s="15">
        <f t="shared" si="5"/>
        <v>-5.9116022099448173</v>
      </c>
      <c r="Q31" s="130">
        <f t="shared" si="6"/>
        <v>0.95566298342541389</v>
      </c>
      <c r="R31" s="615"/>
      <c r="S31" s="34">
        <v>0.21319444444444444</v>
      </c>
      <c r="T31" s="34">
        <v>0.33888888888888891</v>
      </c>
      <c r="U31" s="129">
        <f t="shared" ref="U31:U35" si="26">(S31-T30)*24*60</f>
        <v>30.000000000000014</v>
      </c>
      <c r="V31" s="131">
        <f t="shared" si="25"/>
        <v>181.00000000000006</v>
      </c>
      <c r="W31" s="16"/>
      <c r="X31" s="16"/>
      <c r="Y31" s="16"/>
      <c r="Z31" s="16"/>
      <c r="AA31" s="617"/>
      <c r="AB31" s="617"/>
      <c r="AC31" s="35"/>
      <c r="AD31" s="18"/>
      <c r="AE31" s="14">
        <f t="shared" si="8"/>
        <v>-106.40883977900648</v>
      </c>
      <c r="AF31" s="130">
        <f t="shared" si="9"/>
        <v>0.955662983425414</v>
      </c>
      <c r="AG31" s="615"/>
    </row>
    <row r="32" spans="1:33" ht="15.75" customHeight="1">
      <c r="A32" s="641" t="s">
        <v>10</v>
      </c>
      <c r="B32" s="29" t="s">
        <v>32</v>
      </c>
      <c r="C32" s="640" t="s">
        <v>76</v>
      </c>
      <c r="D32" s="640"/>
      <c r="E32" s="29">
        <v>26.18</v>
      </c>
      <c r="F32" s="133">
        <v>4900</v>
      </c>
      <c r="G32" s="129">
        <f t="shared" si="23"/>
        <v>128282</v>
      </c>
      <c r="H32" s="33">
        <v>2</v>
      </c>
      <c r="I32" s="128">
        <v>18</v>
      </c>
      <c r="J32" s="31">
        <v>2400</v>
      </c>
      <c r="K32" s="12">
        <f t="shared" si="1"/>
        <v>133.33333333333334</v>
      </c>
      <c r="L32" s="128">
        <v>18</v>
      </c>
      <c r="M32" s="13">
        <f t="shared" si="24"/>
        <v>2296.8749999999995</v>
      </c>
      <c r="N32" s="12">
        <f t="shared" si="3"/>
        <v>127.60416666666664</v>
      </c>
      <c r="O32" s="14">
        <f t="shared" si="4"/>
        <v>0</v>
      </c>
      <c r="P32" s="15">
        <f t="shared" si="5"/>
        <v>-5.7291666666666998</v>
      </c>
      <c r="Q32" s="130">
        <f t="shared" si="6"/>
        <v>0.95703124999999978</v>
      </c>
      <c r="R32" s="615"/>
      <c r="S32" s="34">
        <v>0.34375</v>
      </c>
      <c r="T32" s="34">
        <v>0.43263888888888891</v>
      </c>
      <c r="U32" s="129">
        <f t="shared" si="26"/>
        <v>6.9999999999999751</v>
      </c>
      <c r="V32" s="131">
        <f t="shared" si="25"/>
        <v>128.00000000000003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-103.12500000000045</v>
      </c>
      <c r="AF32" s="130">
        <f t="shared" si="9"/>
        <v>0.95703124999999978</v>
      </c>
      <c r="AG32" s="615"/>
    </row>
    <row r="33" spans="1:33" ht="15.75" customHeight="1">
      <c r="A33" s="641" t="s">
        <v>10</v>
      </c>
      <c r="B33" s="29" t="s">
        <v>32</v>
      </c>
      <c r="C33" s="640" t="s">
        <v>35</v>
      </c>
      <c r="D33" s="640"/>
      <c r="E33" s="29">
        <v>25.99</v>
      </c>
      <c r="F33" s="133">
        <v>4451</v>
      </c>
      <c r="G33" s="129">
        <f t="shared" si="23"/>
        <v>115681.48999999999</v>
      </c>
      <c r="H33" s="33" t="s">
        <v>57</v>
      </c>
      <c r="I33" s="128">
        <v>14</v>
      </c>
      <c r="J33" s="31">
        <v>2400</v>
      </c>
      <c r="K33" s="12">
        <f t="shared" si="1"/>
        <v>171.42857142857142</v>
      </c>
      <c r="L33" s="128">
        <v>14</v>
      </c>
      <c r="M33" s="13">
        <f t="shared" si="24"/>
        <v>2302.2413793103433</v>
      </c>
      <c r="N33" s="12">
        <f t="shared" si="3"/>
        <v>164.44581280788165</v>
      </c>
      <c r="O33" s="14">
        <f t="shared" si="4"/>
        <v>0</v>
      </c>
      <c r="P33" s="15">
        <f t="shared" si="5"/>
        <v>-6.9827586206897649</v>
      </c>
      <c r="Q33" s="130">
        <f t="shared" si="6"/>
        <v>0.95926724137930974</v>
      </c>
      <c r="R33" s="615"/>
      <c r="S33" s="34">
        <v>0.43680555555555556</v>
      </c>
      <c r="T33" s="34">
        <v>0.51736111111111116</v>
      </c>
      <c r="U33" s="129">
        <f t="shared" si="26"/>
        <v>5.9999999999999787</v>
      </c>
      <c r="V33" s="131">
        <f t="shared" si="25"/>
        <v>116.00000000000007</v>
      </c>
      <c r="W33" s="16">
        <f>T33</f>
        <v>0.51736111111111116</v>
      </c>
      <c r="X33" s="16">
        <f>S34</f>
        <v>0.55625000000000002</v>
      </c>
      <c r="Y33" s="16"/>
      <c r="Z33" s="16"/>
      <c r="AA33" s="617"/>
      <c r="AB33" s="617"/>
      <c r="AC33" s="35"/>
      <c r="AD33" s="18"/>
      <c r="AE33" s="14">
        <f t="shared" si="8"/>
        <v>-97.758620689656709</v>
      </c>
      <c r="AF33" s="130">
        <f t="shared" si="9"/>
        <v>0.95926724137930974</v>
      </c>
      <c r="AG33" s="615"/>
    </row>
    <row r="34" spans="1:33" ht="15.75" customHeight="1">
      <c r="A34" s="641" t="s">
        <v>10</v>
      </c>
      <c r="B34" s="29" t="s">
        <v>32</v>
      </c>
      <c r="C34" s="640" t="s">
        <v>33</v>
      </c>
      <c r="D34" s="640"/>
      <c r="E34" s="29">
        <v>31.29</v>
      </c>
      <c r="F34" s="133">
        <v>4156</v>
      </c>
      <c r="G34" s="129">
        <f t="shared" si="23"/>
        <v>130041.23999999999</v>
      </c>
      <c r="H34" s="33" t="s">
        <v>57</v>
      </c>
      <c r="I34" s="128">
        <v>18</v>
      </c>
      <c r="J34" s="31">
        <v>2400</v>
      </c>
      <c r="K34" s="12">
        <f t="shared" si="1"/>
        <v>133.33333333333334</v>
      </c>
      <c r="L34" s="128">
        <v>18</v>
      </c>
      <c r="M34" s="13">
        <f t="shared" si="24"/>
        <v>2287.7064220183502</v>
      </c>
      <c r="N34" s="12">
        <f t="shared" si="3"/>
        <v>127.09480122324167</v>
      </c>
      <c r="O34" s="14">
        <f t="shared" si="4"/>
        <v>0</v>
      </c>
      <c r="P34" s="15">
        <f t="shared" si="5"/>
        <v>-6.2385321100916684</v>
      </c>
      <c r="Q34" s="130">
        <f t="shared" si="6"/>
        <v>0.95321100917431245</v>
      </c>
      <c r="R34" s="615"/>
      <c r="S34" s="34">
        <v>0.55625000000000002</v>
      </c>
      <c r="T34" s="34">
        <v>0.63194444444444442</v>
      </c>
      <c r="U34" s="129">
        <f t="shared" si="26"/>
        <v>55.999999999999957</v>
      </c>
      <c r="V34" s="131">
        <f t="shared" si="25"/>
        <v>108.99999999999993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-112.29357798164983</v>
      </c>
      <c r="AF34" s="130">
        <f t="shared" si="9"/>
        <v>0.95321100917431256</v>
      </c>
      <c r="AG34" s="615"/>
    </row>
    <row r="35" spans="1:33" ht="15.75" customHeight="1">
      <c r="A35" s="641" t="s">
        <v>10</v>
      </c>
      <c r="B35" s="29" t="s">
        <v>32</v>
      </c>
      <c r="C35" s="640" t="s">
        <v>76</v>
      </c>
      <c r="D35" s="640"/>
      <c r="E35" s="29">
        <v>26.18</v>
      </c>
      <c r="F35" s="133">
        <v>3507</v>
      </c>
      <c r="G35" s="129">
        <f t="shared" si="23"/>
        <v>91813.26</v>
      </c>
      <c r="H35" s="33" t="s">
        <v>57</v>
      </c>
      <c r="I35" s="128">
        <v>18</v>
      </c>
      <c r="J35" s="31">
        <v>2400</v>
      </c>
      <c r="K35" s="12">
        <f t="shared" si="1"/>
        <v>133.33333333333334</v>
      </c>
      <c r="L35" s="128">
        <v>18</v>
      </c>
      <c r="M35" s="13">
        <f t="shared" si="24"/>
        <v>2287.1739130434785</v>
      </c>
      <c r="N35" s="12">
        <f t="shared" si="3"/>
        <v>127.06521739130436</v>
      </c>
      <c r="O35" s="14">
        <f t="shared" si="4"/>
        <v>0</v>
      </c>
      <c r="P35" s="15">
        <f t="shared" si="5"/>
        <v>-6.2681159420289845</v>
      </c>
      <c r="Q35" s="130">
        <f t="shared" si="6"/>
        <v>0.95298913043478262</v>
      </c>
      <c r="R35" s="615"/>
      <c r="S35" s="34">
        <v>0.63749999999999996</v>
      </c>
      <c r="T35" s="34">
        <v>0.70138888888888884</v>
      </c>
      <c r="U35" s="129">
        <f t="shared" si="26"/>
        <v>7.9999999999999716</v>
      </c>
      <c r="V35" s="131">
        <f t="shared" si="25"/>
        <v>92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-112.82608695652152</v>
      </c>
      <c r="AF35" s="130">
        <f t="shared" si="9"/>
        <v>0.95298913043478273</v>
      </c>
      <c r="AG35" s="615"/>
    </row>
    <row r="36" spans="1:33" ht="15.75" customHeight="1">
      <c r="A36" s="641" t="s">
        <v>10</v>
      </c>
      <c r="B36" s="29" t="s">
        <v>6</v>
      </c>
      <c r="C36" s="618"/>
      <c r="D36" s="618"/>
      <c r="E36" s="136"/>
      <c r="F36" s="133"/>
      <c r="G36" s="129"/>
      <c r="H36" s="133"/>
      <c r="I36" s="23">
        <v>17.333333333333332</v>
      </c>
      <c r="J36" s="31">
        <v>2400</v>
      </c>
      <c r="K36" s="12">
        <f t="shared" si="1"/>
        <v>138.46153846153848</v>
      </c>
      <c r="L36" s="23">
        <v>17.333333333333332</v>
      </c>
      <c r="M36" s="13">
        <f>AVERAGE(M30:M35)</f>
        <v>2293.4302508610685</v>
      </c>
      <c r="N36" s="12">
        <f t="shared" si="3"/>
        <v>132.31328370352318</v>
      </c>
      <c r="O36" s="14">
        <f t="shared" si="4"/>
        <v>0</v>
      </c>
      <c r="P36" s="15">
        <f t="shared" si="5"/>
        <v>-6.1482547580152982</v>
      </c>
      <c r="Q36" s="130">
        <f t="shared" si="6"/>
        <v>0.95559593785877839</v>
      </c>
      <c r="R36" s="615"/>
      <c r="S36" s="34"/>
      <c r="T36" s="34"/>
      <c r="U36" s="129"/>
      <c r="V36" s="131"/>
      <c r="W36" s="129"/>
      <c r="X36" s="129"/>
      <c r="Y36" s="24">
        <f>SUM(Y30:Y35)</f>
        <v>0</v>
      </c>
      <c r="Z36" s="24">
        <f>SUM(Z30:Z35)</f>
        <v>0</v>
      </c>
      <c r="AA36" s="614"/>
      <c r="AB36" s="614"/>
      <c r="AC36" s="24">
        <v>6</v>
      </c>
      <c r="AD36" s="24">
        <f>SUM(AD30:AD35)</f>
        <v>0</v>
      </c>
      <c r="AE36" s="14">
        <f t="shared" si="8"/>
        <v>-106.56974913893146</v>
      </c>
      <c r="AF36" s="130">
        <f t="shared" si="9"/>
        <v>0.95559593785877861</v>
      </c>
      <c r="AG36" s="615"/>
    </row>
    <row r="37" spans="1:33" ht="15.75" customHeight="1">
      <c r="A37" s="638" t="s">
        <v>362</v>
      </c>
      <c r="B37" s="29" t="s">
        <v>32</v>
      </c>
      <c r="C37" s="616" t="s">
        <v>77</v>
      </c>
      <c r="D37" s="616"/>
      <c r="E37" s="29">
        <v>26.18</v>
      </c>
      <c r="F37" s="133">
        <v>6717</v>
      </c>
      <c r="G37" s="129">
        <f t="shared" ref="G37:G43" si="27">E37*F37</f>
        <v>175851.06</v>
      </c>
      <c r="H37" s="33" t="s">
        <v>57</v>
      </c>
      <c r="I37" s="128">
        <v>20</v>
      </c>
      <c r="J37" s="31">
        <v>2400</v>
      </c>
      <c r="K37" s="12">
        <f t="shared" si="1"/>
        <v>120</v>
      </c>
      <c r="L37" s="128">
        <v>20</v>
      </c>
      <c r="M37" s="13">
        <f t="shared" ref="M37:M43" si="28">F37/V37*60</f>
        <v>2289.8863636363635</v>
      </c>
      <c r="N37" s="12">
        <f t="shared" si="3"/>
        <v>114.49431818181817</v>
      </c>
      <c r="O37" s="14">
        <f t="shared" si="4"/>
        <v>0</v>
      </c>
      <c r="P37" s="15">
        <f t="shared" si="5"/>
        <v>-5.5056818181818272</v>
      </c>
      <c r="Q37" s="130">
        <f t="shared" si="6"/>
        <v>0.95411931818181805</v>
      </c>
      <c r="R37" s="615">
        <f>Q44</f>
        <v>0.95547854138026089</v>
      </c>
      <c r="S37" s="34">
        <v>8.3333333333333329E-2</v>
      </c>
      <c r="T37" s="34">
        <v>0.20555555555555555</v>
      </c>
      <c r="U37" s="129"/>
      <c r="V37" s="131">
        <f t="shared" ref="V37:V43" si="29">(T37-S37)*24*60</f>
        <v>176</v>
      </c>
      <c r="W37" s="21">
        <f>T37</f>
        <v>0.20555555555555555</v>
      </c>
      <c r="X37" s="21">
        <f>S38</f>
        <v>0.22361111111111109</v>
      </c>
      <c r="Y37" s="21"/>
      <c r="Z37" s="21"/>
      <c r="AA37" s="617"/>
      <c r="AB37" s="617"/>
      <c r="AC37" s="35">
        <v>7</v>
      </c>
      <c r="AD37" s="18"/>
      <c r="AE37" s="14">
        <f t="shared" si="8"/>
        <v>-110.11363636363649</v>
      </c>
      <c r="AF37" s="130">
        <f t="shared" si="9"/>
        <v>0.95411931818181817</v>
      </c>
      <c r="AG37" s="615">
        <f>AF44</f>
        <v>0.955478541380261</v>
      </c>
    </row>
    <row r="38" spans="1:33" ht="15.75" customHeight="1">
      <c r="A38" s="638" t="s">
        <v>11</v>
      </c>
      <c r="B38" s="29" t="s">
        <v>32</v>
      </c>
      <c r="C38" s="616" t="s">
        <v>37</v>
      </c>
      <c r="D38" s="616"/>
      <c r="E38" s="29">
        <v>24.43</v>
      </c>
      <c r="F38" s="133">
        <v>3900</v>
      </c>
      <c r="G38" s="129">
        <f t="shared" si="27"/>
        <v>95277</v>
      </c>
      <c r="H38" s="33">
        <v>2</v>
      </c>
      <c r="I38" s="128">
        <v>14</v>
      </c>
      <c r="J38" s="31">
        <v>2400</v>
      </c>
      <c r="K38" s="12">
        <f t="shared" si="1"/>
        <v>171.42857142857142</v>
      </c>
      <c r="L38" s="128">
        <v>14</v>
      </c>
      <c r="M38" s="13">
        <f t="shared" si="28"/>
        <v>2294.1176470588243</v>
      </c>
      <c r="N38" s="12">
        <f t="shared" si="3"/>
        <v>163.86554621848745</v>
      </c>
      <c r="O38" s="14">
        <f t="shared" si="4"/>
        <v>0</v>
      </c>
      <c r="P38" s="15">
        <f t="shared" si="5"/>
        <v>-7.5630252100839641</v>
      </c>
      <c r="Q38" s="130">
        <f t="shared" si="6"/>
        <v>0.95588235294117685</v>
      </c>
      <c r="R38" s="615"/>
      <c r="S38" s="34">
        <v>0.22361111111111109</v>
      </c>
      <c r="T38" s="34">
        <v>0.2944444444444444</v>
      </c>
      <c r="U38" s="129">
        <f t="shared" ref="U38:U43" si="30">(S38-T37)*24*60</f>
        <v>25.999999999999986</v>
      </c>
      <c r="V38" s="131">
        <f t="shared" si="29"/>
        <v>101.99999999999996</v>
      </c>
      <c r="W38" s="129"/>
      <c r="X38" s="129"/>
      <c r="Y38" s="129"/>
      <c r="Z38" s="129"/>
      <c r="AA38" s="617"/>
      <c r="AB38" s="617"/>
      <c r="AC38" s="35"/>
      <c r="AD38" s="18"/>
      <c r="AE38" s="14">
        <f t="shared" si="8"/>
        <v>-105.88235294117567</v>
      </c>
      <c r="AF38" s="130">
        <f t="shared" si="9"/>
        <v>0.95588235294117685</v>
      </c>
      <c r="AG38" s="615"/>
    </row>
    <row r="39" spans="1:33">
      <c r="A39" s="639" t="s">
        <v>11</v>
      </c>
      <c r="B39" s="29" t="s">
        <v>32</v>
      </c>
      <c r="C39" s="616" t="s">
        <v>38</v>
      </c>
      <c r="D39" s="616"/>
      <c r="E39" s="29">
        <v>25.98</v>
      </c>
      <c r="F39" s="133">
        <v>3343</v>
      </c>
      <c r="G39" s="129">
        <f t="shared" si="27"/>
        <v>86851.14</v>
      </c>
      <c r="H39" s="33" t="s">
        <v>57</v>
      </c>
      <c r="I39" s="128">
        <v>21</v>
      </c>
      <c r="J39" s="31">
        <v>2400</v>
      </c>
      <c r="K39" s="12">
        <f t="shared" si="1"/>
        <v>114.28571428571429</v>
      </c>
      <c r="L39" s="128">
        <v>21</v>
      </c>
      <c r="M39" s="13">
        <f t="shared" si="28"/>
        <v>2305.5172413793098</v>
      </c>
      <c r="N39" s="12">
        <f t="shared" si="3"/>
        <v>109.78653530377666</v>
      </c>
      <c r="O39" s="14">
        <f t="shared" si="4"/>
        <v>0</v>
      </c>
      <c r="P39" s="15">
        <f t="shared" si="5"/>
        <v>-4.4991789819376322</v>
      </c>
      <c r="Q39" s="130">
        <f t="shared" si="6"/>
        <v>0.96063218390804572</v>
      </c>
      <c r="R39" s="615"/>
      <c r="S39" s="34">
        <v>0.29861111111111105</v>
      </c>
      <c r="T39" s="34">
        <v>0.35902777777777772</v>
      </c>
      <c r="U39" s="129">
        <f t="shared" si="30"/>
        <v>5.9999999999999787</v>
      </c>
      <c r="V39" s="131">
        <f t="shared" si="29"/>
        <v>87.000000000000014</v>
      </c>
      <c r="W39" s="129"/>
      <c r="X39" s="129"/>
      <c r="Y39" s="129"/>
      <c r="Z39" s="129"/>
      <c r="AA39" s="617"/>
      <c r="AB39" s="617"/>
      <c r="AC39" s="35"/>
      <c r="AD39" s="18"/>
      <c r="AE39" s="14">
        <f t="shared" si="8"/>
        <v>-94.48275862069022</v>
      </c>
      <c r="AF39" s="130">
        <f t="shared" si="9"/>
        <v>0.96063218390804572</v>
      </c>
      <c r="AG39" s="615"/>
    </row>
    <row r="40" spans="1:33">
      <c r="A40" s="639" t="s">
        <v>11</v>
      </c>
      <c r="B40" s="29" t="s">
        <v>32</v>
      </c>
      <c r="C40" s="616" t="s">
        <v>79</v>
      </c>
      <c r="D40" s="616"/>
      <c r="E40" s="29">
        <v>25.99</v>
      </c>
      <c r="F40" s="133">
        <v>3012</v>
      </c>
      <c r="G40" s="129">
        <f t="shared" si="27"/>
        <v>78281.87999999999</v>
      </c>
      <c r="H40" s="33" t="s">
        <v>57</v>
      </c>
      <c r="I40" s="128">
        <v>18</v>
      </c>
      <c r="J40" s="31">
        <v>2400</v>
      </c>
      <c r="K40" s="12">
        <f t="shared" si="1"/>
        <v>133.33333333333334</v>
      </c>
      <c r="L40" s="128">
        <v>18</v>
      </c>
      <c r="M40" s="13">
        <f t="shared" si="28"/>
        <v>2287.5949367088597</v>
      </c>
      <c r="N40" s="12">
        <f t="shared" si="3"/>
        <v>127.08860759493665</v>
      </c>
      <c r="O40" s="14">
        <f t="shared" si="4"/>
        <v>0</v>
      </c>
      <c r="P40" s="15">
        <f t="shared" si="5"/>
        <v>-6.2447257383966956</v>
      </c>
      <c r="Q40" s="130">
        <f t="shared" si="6"/>
        <v>0.95316455696202473</v>
      </c>
      <c r="R40" s="615"/>
      <c r="S40" s="34">
        <v>0.36319444444444438</v>
      </c>
      <c r="T40" s="34">
        <v>0.41805555555555551</v>
      </c>
      <c r="U40" s="129">
        <f t="shared" si="30"/>
        <v>5.9999999999999787</v>
      </c>
      <c r="V40" s="131">
        <f t="shared" si="29"/>
        <v>79.000000000000043</v>
      </c>
      <c r="W40" s="16"/>
      <c r="X40" s="16"/>
      <c r="Y40" s="16"/>
      <c r="Z40" s="16"/>
      <c r="AA40" s="617"/>
      <c r="AB40" s="617"/>
      <c r="AC40" s="35"/>
      <c r="AD40" s="18"/>
      <c r="AE40" s="14">
        <f t="shared" si="8"/>
        <v>-112.40506329114032</v>
      </c>
      <c r="AF40" s="130">
        <f t="shared" si="9"/>
        <v>0.95316455696202484</v>
      </c>
      <c r="AG40" s="615"/>
    </row>
    <row r="41" spans="1:33">
      <c r="A41" s="639" t="s">
        <v>11</v>
      </c>
      <c r="B41" s="29" t="s">
        <v>32</v>
      </c>
      <c r="C41" s="616" t="s">
        <v>39</v>
      </c>
      <c r="D41" s="616"/>
      <c r="E41" s="29">
        <v>34.1</v>
      </c>
      <c r="F41" s="133">
        <v>2700</v>
      </c>
      <c r="G41" s="129">
        <f t="shared" si="27"/>
        <v>92070</v>
      </c>
      <c r="H41" s="33">
        <v>2</v>
      </c>
      <c r="I41" s="128">
        <v>17</v>
      </c>
      <c r="J41" s="31">
        <v>1600</v>
      </c>
      <c r="K41" s="12">
        <f t="shared" si="1"/>
        <v>94.117647058823536</v>
      </c>
      <c r="L41" s="128">
        <v>17</v>
      </c>
      <c r="M41" s="13">
        <f t="shared" si="28"/>
        <v>1528.3018867924525</v>
      </c>
      <c r="N41" s="12">
        <f t="shared" si="3"/>
        <v>89.900110987791322</v>
      </c>
      <c r="O41" s="14">
        <f t="shared" si="4"/>
        <v>0</v>
      </c>
      <c r="P41" s="15">
        <f t="shared" si="5"/>
        <v>-4.2175360710322138</v>
      </c>
      <c r="Q41" s="130">
        <f t="shared" si="6"/>
        <v>0.95518867924528272</v>
      </c>
      <c r="R41" s="615"/>
      <c r="S41" s="34">
        <v>0.42291666666666661</v>
      </c>
      <c r="T41" s="34">
        <v>0.49652777777777773</v>
      </c>
      <c r="U41" s="129">
        <f t="shared" si="30"/>
        <v>6.9999999999999751</v>
      </c>
      <c r="V41" s="131">
        <f t="shared" si="29"/>
        <v>106.00000000000003</v>
      </c>
      <c r="W41" s="16">
        <f>T41</f>
        <v>0.49652777777777773</v>
      </c>
      <c r="X41" s="16">
        <f>S42</f>
        <v>0.53819444444444442</v>
      </c>
      <c r="Y41" s="16"/>
      <c r="Z41" s="16"/>
      <c r="AA41" s="617"/>
      <c r="AB41" s="617"/>
      <c r="AC41" s="35"/>
      <c r="AD41" s="18"/>
      <c r="AE41" s="14">
        <f t="shared" si="8"/>
        <v>-71.698113207547522</v>
      </c>
      <c r="AF41" s="130">
        <f t="shared" si="9"/>
        <v>0.95518867924528283</v>
      </c>
      <c r="AG41" s="615"/>
    </row>
    <row r="42" spans="1:33">
      <c r="A42" s="639" t="s">
        <v>11</v>
      </c>
      <c r="B42" s="29" t="s">
        <v>32</v>
      </c>
      <c r="C42" s="616" t="s">
        <v>39</v>
      </c>
      <c r="D42" s="616"/>
      <c r="E42" s="29">
        <v>34.1</v>
      </c>
      <c r="F42" s="133">
        <v>4152</v>
      </c>
      <c r="G42" s="129">
        <f t="shared" si="27"/>
        <v>141583.20000000001</v>
      </c>
      <c r="H42" s="33" t="s">
        <v>57</v>
      </c>
      <c r="I42" s="128">
        <v>17</v>
      </c>
      <c r="J42" s="31">
        <v>1600</v>
      </c>
      <c r="K42" s="12">
        <f t="shared" si="1"/>
        <v>94.117647058823536</v>
      </c>
      <c r="L42" s="128">
        <v>17</v>
      </c>
      <c r="M42" s="13">
        <f t="shared" si="28"/>
        <v>1528.3435582822081</v>
      </c>
      <c r="N42" s="12">
        <f t="shared" si="3"/>
        <v>89.902562251894594</v>
      </c>
      <c r="O42" s="14">
        <f t="shared" si="4"/>
        <v>0</v>
      </c>
      <c r="P42" s="15">
        <f t="shared" si="5"/>
        <v>-4.2150848069289424</v>
      </c>
      <c r="Q42" s="130">
        <f t="shared" si="6"/>
        <v>0.95521472392637996</v>
      </c>
      <c r="R42" s="615"/>
      <c r="S42" s="34">
        <v>0.53819444444444442</v>
      </c>
      <c r="T42" s="34">
        <v>0.65138888888888891</v>
      </c>
      <c r="U42" s="129">
        <f t="shared" si="30"/>
        <v>60.000000000000028</v>
      </c>
      <c r="V42" s="131">
        <f t="shared" si="29"/>
        <v>163.00000000000006</v>
      </c>
      <c r="W42" s="16"/>
      <c r="X42" s="16"/>
      <c r="Y42" s="16"/>
      <c r="Z42" s="16"/>
      <c r="AA42" s="617"/>
      <c r="AB42" s="617"/>
      <c r="AC42" s="35"/>
      <c r="AD42" s="18"/>
      <c r="AE42" s="14">
        <f t="shared" si="8"/>
        <v>-71.656441717791949</v>
      </c>
      <c r="AF42" s="130">
        <f t="shared" si="9"/>
        <v>0.95521472392638007</v>
      </c>
      <c r="AG42" s="615"/>
    </row>
    <row r="43" spans="1:33">
      <c r="A43" s="639" t="s">
        <v>11</v>
      </c>
      <c r="B43" s="29" t="s">
        <v>32</v>
      </c>
      <c r="C43" s="616" t="s">
        <v>37</v>
      </c>
      <c r="D43" s="616"/>
      <c r="E43" s="29">
        <v>24.43</v>
      </c>
      <c r="F43" s="133">
        <v>3129</v>
      </c>
      <c r="G43" s="129">
        <f t="shared" si="27"/>
        <v>76441.47</v>
      </c>
      <c r="H43" s="33" t="s">
        <v>57</v>
      </c>
      <c r="I43" s="128">
        <v>14</v>
      </c>
      <c r="J43" s="31">
        <v>2400</v>
      </c>
      <c r="K43" s="12">
        <f t="shared" si="1"/>
        <v>171.42857142857142</v>
      </c>
      <c r="L43" s="128">
        <v>14</v>
      </c>
      <c r="M43" s="13">
        <f t="shared" si="28"/>
        <v>2289.5121951219503</v>
      </c>
      <c r="N43" s="12">
        <f t="shared" si="3"/>
        <v>163.5365853658536</v>
      </c>
      <c r="O43" s="14">
        <f t="shared" si="4"/>
        <v>0</v>
      </c>
      <c r="P43" s="15">
        <f t="shared" si="5"/>
        <v>-7.8919860627178196</v>
      </c>
      <c r="Q43" s="130">
        <f t="shared" si="6"/>
        <v>0.95396341463414602</v>
      </c>
      <c r="R43" s="615"/>
      <c r="S43" s="34">
        <v>0.65555555555555556</v>
      </c>
      <c r="T43" s="34">
        <v>0.71250000000000002</v>
      </c>
      <c r="U43" s="129">
        <f t="shared" si="30"/>
        <v>5.9999999999999787</v>
      </c>
      <c r="V43" s="131">
        <f t="shared" si="29"/>
        <v>82.000000000000028</v>
      </c>
      <c r="W43" s="16"/>
      <c r="X43" s="16"/>
      <c r="Y43" s="19"/>
      <c r="Z43" s="19"/>
      <c r="AA43" s="624"/>
      <c r="AB43" s="625"/>
      <c r="AC43" s="35"/>
      <c r="AD43" s="18"/>
      <c r="AE43" s="14">
        <f t="shared" si="8"/>
        <v>-110.4878048780497</v>
      </c>
      <c r="AF43" s="130">
        <f t="shared" si="9"/>
        <v>0.95396341463414591</v>
      </c>
      <c r="AG43" s="615"/>
    </row>
    <row r="44" spans="1:33">
      <c r="A44" s="639" t="s">
        <v>362</v>
      </c>
      <c r="B44" s="30" t="s">
        <v>6</v>
      </c>
      <c r="C44" s="618"/>
      <c r="D44" s="618"/>
      <c r="E44" s="136"/>
      <c r="F44" s="30"/>
      <c r="G44" s="12"/>
      <c r="H44" s="133"/>
      <c r="I44" s="23">
        <v>17.285714285714285</v>
      </c>
      <c r="J44" s="31">
        <v>2171.4285714285716</v>
      </c>
      <c r="K44" s="12">
        <f t="shared" si="1"/>
        <v>125.61983471074382</v>
      </c>
      <c r="L44" s="23">
        <v>17.285714285714285</v>
      </c>
      <c r="M44" s="13">
        <f>AVERAGE(M37:M43)</f>
        <v>2074.7534041399954</v>
      </c>
      <c r="N44" s="12">
        <f t="shared" si="3"/>
        <v>120.02705643785097</v>
      </c>
      <c r="O44" s="14">
        <f t="shared" si="4"/>
        <v>0</v>
      </c>
      <c r="P44" s="15">
        <f t="shared" si="5"/>
        <v>-5.5927782728928435</v>
      </c>
      <c r="Q44" s="130">
        <f t="shared" si="6"/>
        <v>0.95547854138026089</v>
      </c>
      <c r="R44" s="615"/>
      <c r="S44" s="34"/>
      <c r="T44" s="34"/>
      <c r="U44" s="12"/>
      <c r="V44" s="131"/>
      <c r="W44" s="12"/>
      <c r="X44" s="12"/>
      <c r="Y44" s="24">
        <f>SUM(Y37:Y43)</f>
        <v>0</v>
      </c>
      <c r="Z44" s="24">
        <f>SUM(Z37:Z43)</f>
        <v>0</v>
      </c>
      <c r="AA44" s="614"/>
      <c r="AB44" s="614"/>
      <c r="AC44" s="24">
        <v>7</v>
      </c>
      <c r="AD44" s="24">
        <f>SUM(AD37:AD43)</f>
        <v>0</v>
      </c>
      <c r="AE44" s="14">
        <f t="shared" si="8"/>
        <v>-96.675167288576176</v>
      </c>
      <c r="AF44" s="130">
        <f t="shared" si="9"/>
        <v>0.955478541380261</v>
      </c>
      <c r="AG44" s="615"/>
    </row>
    <row r="45" spans="1:33" ht="15.75" customHeight="1">
      <c r="A45" s="632" t="s">
        <v>363</v>
      </c>
      <c r="B45" s="29" t="s">
        <v>40</v>
      </c>
      <c r="C45" s="622" t="s">
        <v>41</v>
      </c>
      <c r="D45" s="623"/>
      <c r="E45" s="29">
        <v>37.880000000000003</v>
      </c>
      <c r="F45" s="133">
        <v>1193</v>
      </c>
      <c r="G45" s="129">
        <f t="shared" ref="G45:G48" si="31">E45*F45</f>
        <v>45190.840000000004</v>
      </c>
      <c r="H45" s="33" t="s">
        <v>57</v>
      </c>
      <c r="I45" s="128">
        <v>13</v>
      </c>
      <c r="J45" s="31">
        <v>2000</v>
      </c>
      <c r="K45" s="12">
        <f t="shared" si="1"/>
        <v>153.84615384615384</v>
      </c>
      <c r="L45" s="128">
        <v>13</v>
      </c>
      <c r="M45" s="13">
        <f t="shared" ref="M45:M48" si="32">F45/V45*60</f>
        <v>1934.5945945945941</v>
      </c>
      <c r="N45" s="13">
        <f t="shared" si="3"/>
        <v>148.81496881496878</v>
      </c>
      <c r="O45" s="14">
        <f t="shared" si="4"/>
        <v>0</v>
      </c>
      <c r="P45" s="15">
        <f t="shared" si="5"/>
        <v>-5.0311850311850606</v>
      </c>
      <c r="Q45" s="130">
        <f t="shared" si="6"/>
        <v>0.96729729729729708</v>
      </c>
      <c r="R45" s="635">
        <f>Q49</f>
        <v>0.95737593381167818</v>
      </c>
      <c r="S45" s="34">
        <v>8.3333333333333329E-2</v>
      </c>
      <c r="T45" s="34">
        <v>0.10902777777777778</v>
      </c>
      <c r="U45" s="21"/>
      <c r="V45" s="131">
        <f t="shared" ref="V45:V48" si="33">(T45-S45)*24*60</f>
        <v>37.000000000000007</v>
      </c>
      <c r="W45" s="16">
        <f>T45</f>
        <v>0.10902777777777778</v>
      </c>
      <c r="X45" s="16">
        <f>S46</f>
        <v>0.12638888888888888</v>
      </c>
      <c r="Y45" s="19"/>
      <c r="Z45" s="19"/>
      <c r="AA45" s="624"/>
      <c r="AB45" s="625"/>
      <c r="AC45" s="35">
        <v>4</v>
      </c>
      <c r="AD45" s="18"/>
      <c r="AE45" s="14">
        <f t="shared" si="8"/>
        <v>-65.405405405405872</v>
      </c>
      <c r="AF45" s="130">
        <f t="shared" si="9"/>
        <v>0.96729729729729708</v>
      </c>
      <c r="AG45" s="635">
        <f>AF49</f>
        <v>0.95737593381167818</v>
      </c>
    </row>
    <row r="46" spans="1:33" ht="15.75" customHeight="1">
      <c r="A46" s="633" t="s">
        <v>363</v>
      </c>
      <c r="B46" s="29" t="s">
        <v>40</v>
      </c>
      <c r="C46" s="622" t="s">
        <v>42</v>
      </c>
      <c r="D46" s="623"/>
      <c r="E46" s="29">
        <v>35.119999999999997</v>
      </c>
      <c r="F46" s="133">
        <v>5183</v>
      </c>
      <c r="G46" s="129">
        <f t="shared" si="31"/>
        <v>182026.96</v>
      </c>
      <c r="H46" s="33" t="s">
        <v>57</v>
      </c>
      <c r="I46" s="128">
        <v>10</v>
      </c>
      <c r="J46" s="31">
        <v>3000</v>
      </c>
      <c r="K46" s="12">
        <f t="shared" si="1"/>
        <v>300</v>
      </c>
      <c r="L46" s="128">
        <v>10</v>
      </c>
      <c r="M46" s="13">
        <f t="shared" si="32"/>
        <v>2853.0275229357794</v>
      </c>
      <c r="N46" s="13">
        <f t="shared" si="3"/>
        <v>285.30275229357795</v>
      </c>
      <c r="O46" s="14">
        <f t="shared" si="4"/>
        <v>0</v>
      </c>
      <c r="P46" s="15">
        <f t="shared" si="5"/>
        <v>-14.697247706422047</v>
      </c>
      <c r="Q46" s="130">
        <f t="shared" si="6"/>
        <v>0.95100917431192655</v>
      </c>
      <c r="R46" s="636"/>
      <c r="S46" s="34">
        <v>0.12638888888888888</v>
      </c>
      <c r="T46" s="34">
        <v>0.20208333333333334</v>
      </c>
      <c r="U46" s="129">
        <f t="shared" ref="U46:U48" si="34">(S46-T45)*24*60</f>
        <v>24.999999999999993</v>
      </c>
      <c r="V46" s="131">
        <f t="shared" si="33"/>
        <v>109.00000000000001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-146.97247706422058</v>
      </c>
      <c r="AF46" s="130">
        <f t="shared" si="9"/>
        <v>0.95100917431192644</v>
      </c>
      <c r="AG46" s="636"/>
    </row>
    <row r="47" spans="1:33" ht="15.75" customHeight="1">
      <c r="A47" s="633" t="s">
        <v>363</v>
      </c>
      <c r="B47" s="29" t="s">
        <v>40</v>
      </c>
      <c r="C47" s="622" t="s">
        <v>43</v>
      </c>
      <c r="D47" s="623"/>
      <c r="E47" s="29">
        <v>21.13</v>
      </c>
      <c r="F47" s="133">
        <v>5085</v>
      </c>
      <c r="G47" s="129">
        <f t="shared" si="31"/>
        <v>107446.04999999999</v>
      </c>
      <c r="H47" s="33" t="s">
        <v>57</v>
      </c>
      <c r="I47" s="128">
        <v>10</v>
      </c>
      <c r="J47" s="31">
        <v>3000</v>
      </c>
      <c r="K47" s="12">
        <f t="shared" si="1"/>
        <v>300</v>
      </c>
      <c r="L47" s="128">
        <v>10</v>
      </c>
      <c r="M47" s="13">
        <f t="shared" si="32"/>
        <v>2878.3018867924529</v>
      </c>
      <c r="N47" s="13">
        <f t="shared" si="3"/>
        <v>287.83018867924528</v>
      </c>
      <c r="O47" s="14">
        <f t="shared" si="4"/>
        <v>0</v>
      </c>
      <c r="P47" s="15">
        <f t="shared" si="5"/>
        <v>-12.169811320754718</v>
      </c>
      <c r="Q47" s="130">
        <f t="shared" si="6"/>
        <v>0.9594339622641509</v>
      </c>
      <c r="R47" s="636"/>
      <c r="S47" s="34">
        <v>0.20625000000000002</v>
      </c>
      <c r="T47" s="34">
        <v>0.27986111111111112</v>
      </c>
      <c r="U47" s="129">
        <f t="shared" si="34"/>
        <v>6.0000000000000187</v>
      </c>
      <c r="V47" s="131">
        <f t="shared" si="33"/>
        <v>105.99999999999999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-121.69811320754707</v>
      </c>
      <c r="AF47" s="130">
        <f t="shared" si="9"/>
        <v>0.95943396226415101</v>
      </c>
      <c r="AG47" s="636"/>
    </row>
    <row r="48" spans="1:33" ht="15.75" customHeight="1">
      <c r="A48" s="633" t="s">
        <v>363</v>
      </c>
      <c r="B48" s="29" t="s">
        <v>40</v>
      </c>
      <c r="C48" s="622" t="s">
        <v>44</v>
      </c>
      <c r="D48" s="623"/>
      <c r="E48" s="29">
        <v>27.17</v>
      </c>
      <c r="F48" s="133">
        <v>6781</v>
      </c>
      <c r="G48" s="129">
        <f t="shared" si="31"/>
        <v>184239.77000000002</v>
      </c>
      <c r="H48" s="33" t="s">
        <v>57</v>
      </c>
      <c r="I48" s="128">
        <v>10</v>
      </c>
      <c r="J48" s="31">
        <v>3000</v>
      </c>
      <c r="K48" s="12">
        <f t="shared" si="1"/>
        <v>300</v>
      </c>
      <c r="L48" s="128">
        <v>10</v>
      </c>
      <c r="M48" s="13">
        <f t="shared" si="32"/>
        <v>2865.2112676056345</v>
      </c>
      <c r="N48" s="13">
        <f t="shared" si="3"/>
        <v>286.52112676056345</v>
      </c>
      <c r="O48" s="14">
        <f t="shared" si="4"/>
        <v>0</v>
      </c>
      <c r="P48" s="15">
        <f t="shared" si="5"/>
        <v>-13.478873239436552</v>
      </c>
      <c r="Q48" s="130">
        <f t="shared" si="6"/>
        <v>0.95507042253521146</v>
      </c>
      <c r="R48" s="636"/>
      <c r="S48" s="34">
        <v>0.28472222222222221</v>
      </c>
      <c r="T48" s="34">
        <v>0.3833333333333333</v>
      </c>
      <c r="U48" s="129">
        <f t="shared" si="34"/>
        <v>6.9999999999999751</v>
      </c>
      <c r="V48" s="131">
        <f t="shared" si="33"/>
        <v>141.99999999999997</v>
      </c>
      <c r="W48" s="16"/>
      <c r="X48" s="16"/>
      <c r="Y48" s="19"/>
      <c r="Z48" s="19"/>
      <c r="AA48" s="624"/>
      <c r="AB48" s="625"/>
      <c r="AC48" s="35"/>
      <c r="AD48" s="18"/>
      <c r="AE48" s="14">
        <f t="shared" si="8"/>
        <v>-134.78873239436552</v>
      </c>
      <c r="AF48" s="130">
        <f t="shared" si="9"/>
        <v>0.95507042253521146</v>
      </c>
      <c r="AG48" s="636"/>
    </row>
    <row r="49" spans="1:33" ht="15.75" customHeight="1">
      <c r="A49" s="634" t="s">
        <v>363</v>
      </c>
      <c r="B49" s="29" t="s">
        <v>6</v>
      </c>
      <c r="C49" s="612"/>
      <c r="D49" s="613"/>
      <c r="E49" s="141"/>
      <c r="F49" s="133"/>
      <c r="G49" s="129"/>
      <c r="H49" s="133"/>
      <c r="I49" s="23">
        <v>10.75</v>
      </c>
      <c r="J49" s="31">
        <v>2750</v>
      </c>
      <c r="K49" s="12">
        <f t="shared" si="1"/>
        <v>255.81395348837211</v>
      </c>
      <c r="L49" s="23">
        <v>10.75</v>
      </c>
      <c r="M49" s="13">
        <f>AVERAGE(M45:M48)</f>
        <v>2632.7838179821151</v>
      </c>
      <c r="N49" s="12">
        <f t="shared" si="3"/>
        <v>244.91012260298746</v>
      </c>
      <c r="O49" s="14">
        <f t="shared" si="4"/>
        <v>0</v>
      </c>
      <c r="P49" s="15">
        <f t="shared" si="5"/>
        <v>-10.90383088538465</v>
      </c>
      <c r="Q49" s="130">
        <f t="shared" si="6"/>
        <v>0.95737593381167818</v>
      </c>
      <c r="R49" s="637"/>
      <c r="S49" s="34"/>
      <c r="T49" s="34"/>
      <c r="U49" s="129"/>
      <c r="V49" s="131"/>
      <c r="W49" s="16"/>
      <c r="X49" s="16"/>
      <c r="Y49" s="24">
        <f>SUM(Y45:Y48)</f>
        <v>0</v>
      </c>
      <c r="Z49" s="24">
        <f>SUM(Z45:Z48)</f>
        <v>0</v>
      </c>
      <c r="AA49" s="628"/>
      <c r="AB49" s="629"/>
      <c r="AC49" s="24">
        <v>4</v>
      </c>
      <c r="AD49" s="24">
        <f>SUM(AD45:AD48)</f>
        <v>0</v>
      </c>
      <c r="AE49" s="14">
        <f t="shared" si="8"/>
        <v>-117.21618201788488</v>
      </c>
      <c r="AF49" s="130">
        <f t="shared" si="9"/>
        <v>0.95737593381167818</v>
      </c>
      <c r="AG49" s="637"/>
    </row>
    <row r="50" spans="1:33" ht="15.75" customHeight="1">
      <c r="A50" s="630" t="s">
        <v>13</v>
      </c>
      <c r="B50" s="29" t="s">
        <v>19</v>
      </c>
      <c r="C50" s="616" t="s">
        <v>45</v>
      </c>
      <c r="D50" s="616"/>
      <c r="E50" s="29">
        <v>46</v>
      </c>
      <c r="F50" s="32">
        <v>2253</v>
      </c>
      <c r="G50" s="129">
        <f t="shared" ref="G50:G56" si="35">E50*F50</f>
        <v>103638</v>
      </c>
      <c r="H50" s="33" t="s">
        <v>57</v>
      </c>
      <c r="I50" s="128">
        <v>16</v>
      </c>
      <c r="J50" s="31">
        <v>2000</v>
      </c>
      <c r="K50" s="12">
        <f t="shared" si="1"/>
        <v>125</v>
      </c>
      <c r="L50" s="128">
        <v>16</v>
      </c>
      <c r="M50" s="13">
        <f t="shared" ref="M50" si="36">F50/V50*60</f>
        <v>1903.9436619718301</v>
      </c>
      <c r="N50" s="13">
        <f t="shared" si="3"/>
        <v>118.99647887323938</v>
      </c>
      <c r="O50" s="14">
        <f t="shared" si="4"/>
        <v>0</v>
      </c>
      <c r="P50" s="15">
        <f t="shared" si="5"/>
        <v>-6.0035211267606172</v>
      </c>
      <c r="Q50" s="130">
        <f t="shared" si="6"/>
        <v>0.95197183098591509</v>
      </c>
      <c r="R50" s="615">
        <f>Q57</f>
        <v>0.95895661698714774</v>
      </c>
      <c r="S50" s="34">
        <v>0.20833333333333334</v>
      </c>
      <c r="T50" s="34">
        <v>0.25763888888888892</v>
      </c>
      <c r="U50" s="21"/>
      <c r="V50" s="131">
        <f t="shared" ref="V50:V56" si="37">(T50-S50)*24*60</f>
        <v>71.000000000000028</v>
      </c>
      <c r="W50" s="21"/>
      <c r="X50" s="21"/>
      <c r="Y50" s="21"/>
      <c r="Z50" s="21"/>
      <c r="AA50" s="617"/>
      <c r="AB50" s="617"/>
      <c r="AC50" s="35">
        <v>7</v>
      </c>
      <c r="AD50" s="18"/>
      <c r="AE50" s="14">
        <f t="shared" si="8"/>
        <v>-96.056338028169876</v>
      </c>
      <c r="AF50" s="130">
        <f t="shared" si="9"/>
        <v>0.95197183098591509</v>
      </c>
      <c r="AG50" s="615">
        <f>AF57</f>
        <v>0.95895661698714774</v>
      </c>
    </row>
    <row r="51" spans="1:33" ht="15.75" customHeight="1">
      <c r="A51" s="630" t="s">
        <v>13</v>
      </c>
      <c r="B51" s="29" t="s">
        <v>19</v>
      </c>
      <c r="C51" s="616" t="s">
        <v>81</v>
      </c>
      <c r="D51" s="616"/>
      <c r="E51" s="29">
        <v>46</v>
      </c>
      <c r="F51" s="32">
        <v>3229</v>
      </c>
      <c r="G51" s="129">
        <f t="shared" si="35"/>
        <v>148534</v>
      </c>
      <c r="H51" s="33" t="s">
        <v>57</v>
      </c>
      <c r="I51" s="128">
        <v>16</v>
      </c>
      <c r="J51" s="31">
        <v>2000</v>
      </c>
      <c r="K51" s="12">
        <f t="shared" si="1"/>
        <v>125</v>
      </c>
      <c r="L51" s="128">
        <v>16</v>
      </c>
      <c r="M51" s="13">
        <f>F51/V51*60</f>
        <v>1918.2178217821772</v>
      </c>
      <c r="N51" s="13">
        <f t="shared" si="3"/>
        <v>119.88861386138608</v>
      </c>
      <c r="O51" s="14">
        <f t="shared" si="4"/>
        <v>0</v>
      </c>
      <c r="P51" s="15">
        <f t="shared" si="5"/>
        <v>-5.1113861386139234</v>
      </c>
      <c r="Q51" s="130">
        <f t="shared" si="6"/>
        <v>0.95910891089108863</v>
      </c>
      <c r="R51" s="615"/>
      <c r="S51" s="34">
        <v>0.26111111111111113</v>
      </c>
      <c r="T51" s="34">
        <v>0.33125000000000004</v>
      </c>
      <c r="U51" s="129">
        <f t="shared" ref="U51:U56" si="38">IF(S51=TIME(17,0,0),"",(S51-T50)*24*60)</f>
        <v>4.9999999999999822</v>
      </c>
      <c r="V51" s="131">
        <f t="shared" si="37"/>
        <v>101.00000000000004</v>
      </c>
      <c r="W51" s="16"/>
      <c r="X51" s="16"/>
      <c r="Y51" s="16"/>
      <c r="Z51" s="16"/>
      <c r="AA51" s="617"/>
      <c r="AB51" s="617"/>
      <c r="AC51" s="35"/>
      <c r="AD51" s="18"/>
      <c r="AE51" s="14">
        <f t="shared" si="8"/>
        <v>-81.782178217822775</v>
      </c>
      <c r="AF51" s="130">
        <f t="shared" si="9"/>
        <v>0.95910891089108863</v>
      </c>
      <c r="AG51" s="615"/>
    </row>
    <row r="52" spans="1:33" ht="15.75" customHeight="1">
      <c r="A52" s="630" t="s">
        <v>13</v>
      </c>
      <c r="B52" s="29" t="s">
        <v>15</v>
      </c>
      <c r="C52" s="622" t="s">
        <v>47</v>
      </c>
      <c r="D52" s="623"/>
      <c r="E52" s="29">
        <v>51.75</v>
      </c>
      <c r="F52" s="32">
        <v>783</v>
      </c>
      <c r="G52" s="129">
        <f t="shared" si="35"/>
        <v>40520.25</v>
      </c>
      <c r="H52" s="33" t="s">
        <v>57</v>
      </c>
      <c r="I52" s="128">
        <v>25</v>
      </c>
      <c r="J52" s="31">
        <v>2000</v>
      </c>
      <c r="K52" s="12">
        <f t="shared" si="1"/>
        <v>80</v>
      </c>
      <c r="L52" s="128">
        <v>25</v>
      </c>
      <c r="M52" s="13">
        <f t="shared" ref="M52:M56" si="39">F52/V52*60</f>
        <v>1957.5000000000005</v>
      </c>
      <c r="N52" s="13">
        <f t="shared" si="3"/>
        <v>78.300000000000011</v>
      </c>
      <c r="O52" s="14">
        <f t="shared" si="4"/>
        <v>0</v>
      </c>
      <c r="P52" s="15">
        <f t="shared" si="5"/>
        <v>-1.6999999999999886</v>
      </c>
      <c r="Q52" s="130">
        <f t="shared" si="6"/>
        <v>0.97875000000000012</v>
      </c>
      <c r="R52" s="615"/>
      <c r="S52" s="34">
        <v>0.3354166666666667</v>
      </c>
      <c r="T52" s="34">
        <v>0.35208333333333336</v>
      </c>
      <c r="U52" s="129">
        <f t="shared" si="38"/>
        <v>5.9999999999999787</v>
      </c>
      <c r="V52" s="131">
        <f t="shared" si="37"/>
        <v>23.999999999999993</v>
      </c>
      <c r="W52" s="16"/>
      <c r="X52" s="16"/>
      <c r="Y52" s="19"/>
      <c r="Z52" s="19"/>
      <c r="AA52" s="617"/>
      <c r="AB52" s="617"/>
      <c r="AC52" s="35"/>
      <c r="AD52" s="18"/>
      <c r="AE52" s="14">
        <f t="shared" si="8"/>
        <v>-42.499999999999545</v>
      </c>
      <c r="AF52" s="130">
        <f t="shared" si="9"/>
        <v>0.97875000000000023</v>
      </c>
      <c r="AG52" s="615"/>
    </row>
    <row r="53" spans="1:33" ht="15.75" customHeight="1">
      <c r="A53" s="630" t="s">
        <v>13</v>
      </c>
      <c r="B53" s="29" t="s">
        <v>15</v>
      </c>
      <c r="C53" s="139" t="s">
        <v>46</v>
      </c>
      <c r="D53" s="140"/>
      <c r="E53" s="29">
        <v>56.43</v>
      </c>
      <c r="F53" s="32">
        <v>1537</v>
      </c>
      <c r="G53" s="129">
        <f t="shared" si="35"/>
        <v>86732.91</v>
      </c>
      <c r="H53" s="33" t="s">
        <v>57</v>
      </c>
      <c r="I53" s="128">
        <v>22</v>
      </c>
      <c r="J53" s="31">
        <v>2000</v>
      </c>
      <c r="K53" s="12">
        <f t="shared" si="1"/>
        <v>90.909090909090907</v>
      </c>
      <c r="L53" s="128">
        <v>22</v>
      </c>
      <c r="M53" s="13">
        <f t="shared" si="39"/>
        <v>1921.2500000000005</v>
      </c>
      <c r="N53" s="13">
        <f t="shared" si="3"/>
        <v>87.329545454545482</v>
      </c>
      <c r="O53" s="14">
        <f t="shared" si="4"/>
        <v>0</v>
      </c>
      <c r="P53" s="15">
        <f t="shared" si="5"/>
        <v>-3.5795454545454248</v>
      </c>
      <c r="Q53" s="130">
        <f t="shared" si="6"/>
        <v>0.96062500000000028</v>
      </c>
      <c r="R53" s="615"/>
      <c r="S53" s="34">
        <v>0.35694444444444445</v>
      </c>
      <c r="T53" s="34">
        <v>0.39027777777777778</v>
      </c>
      <c r="U53" s="129">
        <f t="shared" si="38"/>
        <v>6.9999999999999751</v>
      </c>
      <c r="V53" s="131">
        <f t="shared" si="37"/>
        <v>47.999999999999986</v>
      </c>
      <c r="W53" s="16"/>
      <c r="X53" s="16"/>
      <c r="Y53" s="19"/>
      <c r="Z53" s="19"/>
      <c r="AA53" s="617"/>
      <c r="AB53" s="617"/>
      <c r="AC53" s="35"/>
      <c r="AD53" s="18"/>
      <c r="AE53" s="14">
        <f t="shared" si="8"/>
        <v>-78.749999999999545</v>
      </c>
      <c r="AF53" s="130">
        <f t="shared" si="9"/>
        <v>0.96062500000000017</v>
      </c>
      <c r="AG53" s="615"/>
    </row>
    <row r="54" spans="1:33" ht="15.75" customHeight="1">
      <c r="A54" s="630" t="s">
        <v>13</v>
      </c>
      <c r="B54" s="29" t="s">
        <v>15</v>
      </c>
      <c r="C54" s="139" t="s">
        <v>27</v>
      </c>
      <c r="D54" s="140"/>
      <c r="E54" s="29">
        <v>59.04</v>
      </c>
      <c r="F54" s="32">
        <v>3366</v>
      </c>
      <c r="G54" s="129">
        <f t="shared" si="35"/>
        <v>198728.63999999998</v>
      </c>
      <c r="H54" s="33" t="s">
        <v>57</v>
      </c>
      <c r="I54" s="128">
        <v>19</v>
      </c>
      <c r="J54" s="31">
        <v>2000</v>
      </c>
      <c r="K54" s="12">
        <f t="shared" si="1"/>
        <v>105.26315789473684</v>
      </c>
      <c r="L54" s="128">
        <v>19</v>
      </c>
      <c r="M54" s="13">
        <f t="shared" si="39"/>
        <v>1905.2830188679241</v>
      </c>
      <c r="N54" s="13">
        <f t="shared" si="3"/>
        <v>100.27805362462759</v>
      </c>
      <c r="O54" s="14">
        <f t="shared" si="4"/>
        <v>0</v>
      </c>
      <c r="P54" s="15">
        <f t="shared" si="5"/>
        <v>-4.9851042701092467</v>
      </c>
      <c r="Q54" s="130">
        <f t="shared" si="6"/>
        <v>0.9526415094339622</v>
      </c>
      <c r="R54" s="615"/>
      <c r="S54" s="34">
        <v>0.39513888888888887</v>
      </c>
      <c r="T54" s="34">
        <v>0.46875</v>
      </c>
      <c r="U54" s="129">
        <f t="shared" si="38"/>
        <v>6.9999999999999751</v>
      </c>
      <c r="V54" s="131">
        <f t="shared" si="37"/>
        <v>106.00000000000003</v>
      </c>
      <c r="W54" s="16"/>
      <c r="X54" s="16"/>
      <c r="Y54" s="19"/>
      <c r="Z54" s="19"/>
      <c r="AA54" s="617"/>
      <c r="AB54" s="617"/>
      <c r="AC54" s="35"/>
      <c r="AD54" s="18"/>
      <c r="AE54" s="14">
        <f t="shared" si="8"/>
        <v>-94.716981132075944</v>
      </c>
      <c r="AF54" s="130">
        <f t="shared" si="9"/>
        <v>0.95264150943396197</v>
      </c>
      <c r="AG54" s="615"/>
    </row>
    <row r="55" spans="1:33" ht="15.75" customHeight="1">
      <c r="A55" s="630" t="s">
        <v>364</v>
      </c>
      <c r="B55" s="29" t="s">
        <v>15</v>
      </c>
      <c r="C55" s="622" t="s">
        <v>48</v>
      </c>
      <c r="D55" s="623"/>
      <c r="E55" s="29">
        <v>55.56</v>
      </c>
      <c r="F55" s="32">
        <v>2066</v>
      </c>
      <c r="G55" s="129">
        <f t="shared" si="35"/>
        <v>114786.96</v>
      </c>
      <c r="H55" s="33" t="s">
        <v>57</v>
      </c>
      <c r="I55" s="128">
        <v>17</v>
      </c>
      <c r="J55" s="31">
        <v>2000</v>
      </c>
      <c r="K55" s="12">
        <f t="shared" si="1"/>
        <v>117.64705882352941</v>
      </c>
      <c r="L55" s="128">
        <v>17</v>
      </c>
      <c r="M55" s="13">
        <f t="shared" si="39"/>
        <v>1907.0769230769251</v>
      </c>
      <c r="N55" s="13">
        <f t="shared" si="3"/>
        <v>112.18099547511325</v>
      </c>
      <c r="O55" s="14">
        <f t="shared" si="4"/>
        <v>0</v>
      </c>
      <c r="P55" s="15">
        <f t="shared" si="5"/>
        <v>-5.4660633484161565</v>
      </c>
      <c r="Q55" s="130">
        <f t="shared" si="6"/>
        <v>0.95353846153846267</v>
      </c>
      <c r="R55" s="615"/>
      <c r="S55" s="34">
        <v>0.70833333333333337</v>
      </c>
      <c r="T55" s="34">
        <v>0.75347222222222221</v>
      </c>
      <c r="U55" s="129" t="str">
        <f t="shared" si="38"/>
        <v/>
      </c>
      <c r="V55" s="131">
        <f t="shared" si="37"/>
        <v>64.999999999999929</v>
      </c>
      <c r="W55" s="16"/>
      <c r="X55" s="16"/>
      <c r="Y55" s="19"/>
      <c r="Z55" s="19"/>
      <c r="AA55" s="624"/>
      <c r="AB55" s="625"/>
      <c r="AC55" s="35"/>
      <c r="AD55" s="18"/>
      <c r="AE55" s="14">
        <f t="shared" si="8"/>
        <v>-92.923076923074859</v>
      </c>
      <c r="AF55" s="130">
        <f t="shared" si="9"/>
        <v>0.95353846153846256</v>
      </c>
      <c r="AG55" s="615"/>
    </row>
    <row r="56" spans="1:33" ht="15.75" customHeight="1">
      <c r="A56" s="630" t="s">
        <v>13</v>
      </c>
      <c r="B56" s="29" t="s">
        <v>15</v>
      </c>
      <c r="C56" s="622" t="s">
        <v>82</v>
      </c>
      <c r="D56" s="623"/>
      <c r="E56" s="29">
        <v>51.06</v>
      </c>
      <c r="F56" s="32">
        <v>3155</v>
      </c>
      <c r="G56" s="129">
        <f t="shared" si="35"/>
        <v>161094.30000000002</v>
      </c>
      <c r="H56" s="33" t="s">
        <v>57</v>
      </c>
      <c r="I56" s="128">
        <v>13</v>
      </c>
      <c r="J56" s="31">
        <v>2000</v>
      </c>
      <c r="K56" s="12">
        <f t="shared" si="1"/>
        <v>153.84615384615384</v>
      </c>
      <c r="L56" s="128">
        <v>13</v>
      </c>
      <c r="M56" s="13">
        <f t="shared" si="39"/>
        <v>1912.1212121212127</v>
      </c>
      <c r="N56" s="13">
        <f t="shared" si="3"/>
        <v>147.08624708624714</v>
      </c>
      <c r="O56" s="14">
        <f t="shared" si="4"/>
        <v>0</v>
      </c>
      <c r="P56" s="15">
        <f t="shared" si="5"/>
        <v>-6.7599067599066984</v>
      </c>
      <c r="Q56" s="130">
        <f t="shared" si="6"/>
        <v>0.9560606060606065</v>
      </c>
      <c r="R56" s="615"/>
      <c r="S56" s="34">
        <v>0.75902777777777775</v>
      </c>
      <c r="T56" s="34">
        <v>0.82777777777777772</v>
      </c>
      <c r="U56" s="129">
        <f t="shared" si="38"/>
        <v>7.9999999999999716</v>
      </c>
      <c r="V56" s="131">
        <f t="shared" si="37"/>
        <v>98.999999999999972</v>
      </c>
      <c r="W56" s="16"/>
      <c r="X56" s="16"/>
      <c r="Y56" s="19"/>
      <c r="Z56" s="19"/>
      <c r="AA56" s="624"/>
      <c r="AB56" s="625"/>
      <c r="AC56" s="35"/>
      <c r="AD56" s="18"/>
      <c r="AE56" s="14">
        <f t="shared" si="8"/>
        <v>-87.878787878787307</v>
      </c>
      <c r="AF56" s="130">
        <f t="shared" si="9"/>
        <v>0.95606060606060639</v>
      </c>
      <c r="AG56" s="615"/>
    </row>
    <row r="57" spans="1:33">
      <c r="A57" s="631" t="s">
        <v>364</v>
      </c>
      <c r="B57" s="29" t="s">
        <v>6</v>
      </c>
      <c r="C57" s="618"/>
      <c r="D57" s="618"/>
      <c r="E57" s="136"/>
      <c r="F57" s="30"/>
      <c r="G57" s="12"/>
      <c r="H57" s="133"/>
      <c r="I57" s="23">
        <v>18.285714285714285</v>
      </c>
      <c r="J57" s="31">
        <v>2000</v>
      </c>
      <c r="K57" s="12">
        <f t="shared" si="1"/>
        <v>109.375</v>
      </c>
      <c r="L57" s="23">
        <v>18.285714285714285</v>
      </c>
      <c r="M57" s="13">
        <f>AVERAGE(M50:M56)</f>
        <v>1917.9132339742955</v>
      </c>
      <c r="N57" s="12">
        <f t="shared" si="3"/>
        <v>104.88587998296929</v>
      </c>
      <c r="O57" s="14">
        <f t="shared" si="4"/>
        <v>0</v>
      </c>
      <c r="P57" s="15">
        <f t="shared" si="5"/>
        <v>-4.4891200170307144</v>
      </c>
      <c r="Q57" s="130">
        <f t="shared" si="6"/>
        <v>0.95895661698714774</v>
      </c>
      <c r="R57" s="615"/>
      <c r="S57" s="34"/>
      <c r="T57" s="34"/>
      <c r="U57" s="129"/>
      <c r="V57" s="131"/>
      <c r="W57" s="12"/>
      <c r="X57" s="12"/>
      <c r="Y57" s="24">
        <f>SUM(Y50:Y56)</f>
        <v>0</v>
      </c>
      <c r="Z57" s="24">
        <f>SUM(Z50:Z56)</f>
        <v>0</v>
      </c>
      <c r="AA57" s="614"/>
      <c r="AB57" s="614"/>
      <c r="AC57" s="24">
        <v>7</v>
      </c>
      <c r="AD57" s="24">
        <f>SUM(AD50:AD56)</f>
        <v>0</v>
      </c>
      <c r="AE57" s="14">
        <f>M57-J57</f>
        <v>-82.086766025704492</v>
      </c>
      <c r="AF57" s="130">
        <f t="shared" si="9"/>
        <v>0.95895661698714774</v>
      </c>
      <c r="AG57" s="615"/>
    </row>
    <row r="58" spans="1:33" ht="15.75" customHeight="1">
      <c r="A58" s="626" t="s">
        <v>365</v>
      </c>
      <c r="B58" s="133" t="s">
        <v>40</v>
      </c>
      <c r="C58" s="616" t="s">
        <v>49</v>
      </c>
      <c r="D58" s="616"/>
      <c r="E58" s="29">
        <v>34.36</v>
      </c>
      <c r="F58" s="32">
        <v>2342</v>
      </c>
      <c r="G58" s="129">
        <f t="shared" ref="G58:G62" si="40">E58*F58</f>
        <v>80471.12</v>
      </c>
      <c r="H58" s="33" t="s">
        <v>57</v>
      </c>
      <c r="I58" s="128">
        <v>10</v>
      </c>
      <c r="J58" s="31">
        <v>3000</v>
      </c>
      <c r="K58" s="12">
        <f t="shared" si="1"/>
        <v>300</v>
      </c>
      <c r="L58" s="128">
        <v>10</v>
      </c>
      <c r="M58" s="13">
        <f t="shared" ref="M58:M62" si="41">F58/V58*60</f>
        <v>2867.7551020408168</v>
      </c>
      <c r="N58" s="12">
        <f t="shared" si="3"/>
        <v>286.77551020408168</v>
      </c>
      <c r="O58" s="14">
        <f t="shared" si="4"/>
        <v>0</v>
      </c>
      <c r="P58" s="15">
        <f t="shared" si="5"/>
        <v>-13.224489795918316</v>
      </c>
      <c r="Q58" s="130">
        <f t="shared" si="6"/>
        <v>0.95591836734693891</v>
      </c>
      <c r="R58" s="615">
        <f>Q63</f>
        <v>0.96784618981483117</v>
      </c>
      <c r="S58" s="34">
        <v>0.20833333333333334</v>
      </c>
      <c r="T58" s="34">
        <v>0.24236111111111111</v>
      </c>
      <c r="U58" s="129"/>
      <c r="V58" s="131">
        <f t="shared" ref="V58:V62" si="42">(T58-S58)*24*60</f>
        <v>48.999999999999986</v>
      </c>
      <c r="W58" s="21"/>
      <c r="X58" s="21"/>
      <c r="Y58" s="21"/>
      <c r="Z58" s="21"/>
      <c r="AA58" s="617"/>
      <c r="AB58" s="617"/>
      <c r="AC58" s="35">
        <v>5</v>
      </c>
      <c r="AD58" s="18"/>
      <c r="AE58" s="14">
        <f t="shared" ref="AE58:AE70" si="43">M58-J58</f>
        <v>-132.24489795918316</v>
      </c>
      <c r="AF58" s="130">
        <f t="shared" si="9"/>
        <v>0.95591836734693891</v>
      </c>
      <c r="AG58" s="615">
        <f>AF63</f>
        <v>0.96784618981483117</v>
      </c>
    </row>
    <row r="59" spans="1:33" ht="15.75" customHeight="1">
      <c r="A59" s="626" t="s">
        <v>365</v>
      </c>
      <c r="B59" s="133" t="s">
        <v>40</v>
      </c>
      <c r="C59" s="616" t="s">
        <v>50</v>
      </c>
      <c r="D59" s="616"/>
      <c r="E59" s="29">
        <v>34.36</v>
      </c>
      <c r="F59" s="32">
        <v>1084</v>
      </c>
      <c r="G59" s="129">
        <f t="shared" si="40"/>
        <v>37246.239999999998</v>
      </c>
      <c r="H59" s="33" t="s">
        <v>57</v>
      </c>
      <c r="I59" s="128">
        <v>10</v>
      </c>
      <c r="J59" s="31">
        <v>3000</v>
      </c>
      <c r="K59" s="12">
        <f t="shared" si="1"/>
        <v>300</v>
      </c>
      <c r="L59" s="128">
        <v>10</v>
      </c>
      <c r="M59" s="13">
        <f t="shared" si="41"/>
        <v>2956.3636363636415</v>
      </c>
      <c r="N59" s="12">
        <f t="shared" si="3"/>
        <v>295.63636363636414</v>
      </c>
      <c r="O59" s="14">
        <f t="shared" si="4"/>
        <v>0</v>
      </c>
      <c r="P59" s="15">
        <f t="shared" si="5"/>
        <v>-4.3636363636358624</v>
      </c>
      <c r="Q59" s="130">
        <f t="shared" si="6"/>
        <v>0.98545454545454714</v>
      </c>
      <c r="R59" s="615"/>
      <c r="S59" s="34">
        <v>0.24583333333333332</v>
      </c>
      <c r="T59" s="34">
        <v>0.26111111111111107</v>
      </c>
      <c r="U59" s="129">
        <f t="shared" ref="U59:U62" si="44">(S59-T58)*24*60</f>
        <v>4.9999999999999822</v>
      </c>
      <c r="V59" s="131">
        <f t="shared" si="42"/>
        <v>21.999999999999961</v>
      </c>
      <c r="W59" s="129"/>
      <c r="X59" s="129"/>
      <c r="Y59" s="129"/>
      <c r="Z59" s="129"/>
      <c r="AA59" s="617"/>
      <c r="AB59" s="617"/>
      <c r="AC59" s="35"/>
      <c r="AD59" s="18"/>
      <c r="AE59" s="14">
        <f t="shared" si="43"/>
        <v>-43.63636363635851</v>
      </c>
      <c r="AF59" s="130">
        <f t="shared" si="9"/>
        <v>0.98545454545454714</v>
      </c>
      <c r="AG59" s="615"/>
    </row>
    <row r="60" spans="1:33" ht="15.75" customHeight="1">
      <c r="A60" s="626" t="s">
        <v>366</v>
      </c>
      <c r="B60" s="133" t="s">
        <v>40</v>
      </c>
      <c r="C60" s="616" t="s">
        <v>51</v>
      </c>
      <c r="D60" s="616"/>
      <c r="E60" s="29">
        <v>26.78</v>
      </c>
      <c r="F60" s="32">
        <v>2515</v>
      </c>
      <c r="G60" s="129">
        <f t="shared" si="40"/>
        <v>67351.7</v>
      </c>
      <c r="H60" s="33" t="s">
        <v>57</v>
      </c>
      <c r="I60" s="128">
        <v>10</v>
      </c>
      <c r="J60" s="31">
        <v>3000</v>
      </c>
      <c r="K60" s="12">
        <f t="shared" si="1"/>
        <v>300</v>
      </c>
      <c r="L60" s="128">
        <v>10</v>
      </c>
      <c r="M60" s="13">
        <f t="shared" si="41"/>
        <v>2901.9230769230785</v>
      </c>
      <c r="N60" s="12">
        <f t="shared" si="3"/>
        <v>290.19230769230785</v>
      </c>
      <c r="O60" s="14">
        <f t="shared" si="4"/>
        <v>0</v>
      </c>
      <c r="P60" s="15">
        <f t="shared" si="5"/>
        <v>-9.8076923076921503</v>
      </c>
      <c r="Q60" s="130">
        <f t="shared" si="6"/>
        <v>0.96730769230769287</v>
      </c>
      <c r="R60" s="615"/>
      <c r="S60" s="34">
        <v>0.26666666666666661</v>
      </c>
      <c r="T60" s="34">
        <v>0.3027777777777777</v>
      </c>
      <c r="U60" s="129">
        <f t="shared" si="44"/>
        <v>7.9999999999999716</v>
      </c>
      <c r="V60" s="131">
        <f t="shared" si="42"/>
        <v>51.999999999999972</v>
      </c>
      <c r="W60" s="129"/>
      <c r="X60" s="129"/>
      <c r="Y60" s="129"/>
      <c r="Z60" s="129"/>
      <c r="AA60" s="617"/>
      <c r="AB60" s="617"/>
      <c r="AC60" s="35"/>
      <c r="AD60" s="18"/>
      <c r="AE60" s="14">
        <f t="shared" si="43"/>
        <v>-98.076923076921503</v>
      </c>
      <c r="AF60" s="130">
        <f t="shared" si="9"/>
        <v>0.96730769230769287</v>
      </c>
      <c r="AG60" s="615"/>
    </row>
    <row r="61" spans="1:33" ht="15.75" customHeight="1">
      <c r="A61" s="626" t="s">
        <v>365</v>
      </c>
      <c r="B61" s="133" t="s">
        <v>40</v>
      </c>
      <c r="C61" s="616" t="s">
        <v>52</v>
      </c>
      <c r="D61" s="616"/>
      <c r="E61" s="29">
        <v>35.869999999999997</v>
      </c>
      <c r="F61" s="32">
        <v>3749</v>
      </c>
      <c r="G61" s="129">
        <f t="shared" si="40"/>
        <v>134476.63</v>
      </c>
      <c r="H61" s="33" t="s">
        <v>57</v>
      </c>
      <c r="I61" s="128">
        <v>9</v>
      </c>
      <c r="J61" s="31">
        <v>3000</v>
      </c>
      <c r="K61" s="12">
        <f t="shared" si="1"/>
        <v>333.33333333333331</v>
      </c>
      <c r="L61" s="128">
        <v>9</v>
      </c>
      <c r="M61" s="13">
        <f t="shared" si="41"/>
        <v>2883.8461538461524</v>
      </c>
      <c r="N61" s="12">
        <f t="shared" si="3"/>
        <v>320.42735042735029</v>
      </c>
      <c r="O61" s="14">
        <f t="shared" si="4"/>
        <v>0</v>
      </c>
      <c r="P61" s="15">
        <f t="shared" si="5"/>
        <v>-12.905982905983024</v>
      </c>
      <c r="Q61" s="130">
        <f t="shared" si="6"/>
        <v>0.96128205128205091</v>
      </c>
      <c r="R61" s="615"/>
      <c r="S61" s="34">
        <v>0.30624999999999991</v>
      </c>
      <c r="T61" s="34">
        <v>0.36041666666666661</v>
      </c>
      <c r="U61" s="129">
        <f t="shared" si="44"/>
        <v>4.9999999999999822</v>
      </c>
      <c r="V61" s="131">
        <f t="shared" si="42"/>
        <v>78.000000000000043</v>
      </c>
      <c r="W61" s="129"/>
      <c r="X61" s="129"/>
      <c r="Y61" s="129"/>
      <c r="Z61" s="129"/>
      <c r="AA61" s="617"/>
      <c r="AB61" s="617"/>
      <c r="AC61" s="35"/>
      <c r="AD61" s="18"/>
      <c r="AE61" s="14">
        <f t="shared" si="43"/>
        <v>-116.15384615384755</v>
      </c>
      <c r="AF61" s="130">
        <f t="shared" si="9"/>
        <v>0.9612820512820508</v>
      </c>
      <c r="AG61" s="615"/>
    </row>
    <row r="62" spans="1:33">
      <c r="A62" s="627" t="s">
        <v>365</v>
      </c>
      <c r="B62" s="133" t="s">
        <v>40</v>
      </c>
      <c r="C62" s="616" t="s">
        <v>53</v>
      </c>
      <c r="D62" s="616"/>
      <c r="E62" s="29">
        <v>34.35</v>
      </c>
      <c r="F62" s="32">
        <v>1987</v>
      </c>
      <c r="G62" s="129">
        <f t="shared" si="40"/>
        <v>68253.45</v>
      </c>
      <c r="H62" s="33" t="s">
        <v>57</v>
      </c>
      <c r="I62" s="128">
        <v>8</v>
      </c>
      <c r="J62" s="31">
        <v>3000</v>
      </c>
      <c r="K62" s="12">
        <f t="shared" si="1"/>
        <v>375</v>
      </c>
      <c r="L62" s="128">
        <v>8</v>
      </c>
      <c r="M62" s="13">
        <f t="shared" si="41"/>
        <v>2907.8048780487793</v>
      </c>
      <c r="N62" s="12">
        <f t="shared" si="3"/>
        <v>363.47560975609741</v>
      </c>
      <c r="O62" s="14">
        <f t="shared" si="4"/>
        <v>0</v>
      </c>
      <c r="P62" s="15">
        <f t="shared" si="5"/>
        <v>-11.524390243902587</v>
      </c>
      <c r="Q62" s="130">
        <f t="shared" si="6"/>
        <v>0.96926829268292647</v>
      </c>
      <c r="R62" s="615"/>
      <c r="S62" s="34">
        <v>0.36597222222222214</v>
      </c>
      <c r="T62" s="34">
        <v>0.39444444444444438</v>
      </c>
      <c r="U62" s="129">
        <f t="shared" si="44"/>
        <v>7.9999999999999716</v>
      </c>
      <c r="V62" s="131">
        <f t="shared" si="42"/>
        <v>41.000000000000014</v>
      </c>
      <c r="W62" s="16"/>
      <c r="X62" s="16"/>
      <c r="Y62" s="16"/>
      <c r="Z62" s="16"/>
      <c r="AA62" s="617"/>
      <c r="AB62" s="617"/>
      <c r="AC62" s="35"/>
      <c r="AD62" s="18"/>
      <c r="AE62" s="14">
        <f t="shared" si="43"/>
        <v>-92.195121951220699</v>
      </c>
      <c r="AF62" s="130">
        <f t="shared" si="9"/>
        <v>0.96926829268292647</v>
      </c>
      <c r="AG62" s="615"/>
    </row>
    <row r="63" spans="1:33">
      <c r="A63" s="627" t="s">
        <v>366</v>
      </c>
      <c r="B63" s="29" t="s">
        <v>6</v>
      </c>
      <c r="C63" s="618"/>
      <c r="D63" s="618"/>
      <c r="E63" s="136"/>
      <c r="F63" s="30"/>
      <c r="G63" s="12"/>
      <c r="H63" s="133"/>
      <c r="I63" s="23">
        <v>9.4</v>
      </c>
      <c r="J63" s="31">
        <v>3000</v>
      </c>
      <c r="K63" s="12">
        <f t="shared" si="1"/>
        <v>319.14893617021278</v>
      </c>
      <c r="L63" s="23">
        <v>9.4</v>
      </c>
      <c r="M63" s="13">
        <f>AVERAGE(M58:M62)</f>
        <v>2903.5385694444935</v>
      </c>
      <c r="N63" s="12">
        <f t="shared" si="3"/>
        <v>308.88708185579719</v>
      </c>
      <c r="O63" s="14">
        <f t="shared" si="4"/>
        <v>0</v>
      </c>
      <c r="P63" s="15">
        <f t="shared" si="5"/>
        <v>-10.261854314415586</v>
      </c>
      <c r="Q63" s="130">
        <f t="shared" si="6"/>
        <v>0.96784618981483117</v>
      </c>
      <c r="R63" s="615"/>
      <c r="S63" s="34"/>
      <c r="T63" s="34"/>
      <c r="U63" s="12"/>
      <c r="V63" s="131"/>
      <c r="W63" s="12"/>
      <c r="X63" s="12"/>
      <c r="Y63" s="24">
        <f>SUM(Y58:Y62)</f>
        <v>0</v>
      </c>
      <c r="Z63" s="24">
        <f>SUM(Z58:Z62)</f>
        <v>0</v>
      </c>
      <c r="AA63" s="614"/>
      <c r="AB63" s="614"/>
      <c r="AC63" s="24">
        <v>5</v>
      </c>
      <c r="AD63" s="24">
        <f>SUM(AD58:AD62)</f>
        <v>0</v>
      </c>
      <c r="AE63" s="14">
        <f t="shared" si="43"/>
        <v>-96.461430555506467</v>
      </c>
      <c r="AF63" s="130">
        <f t="shared" si="9"/>
        <v>0.96784618981483117</v>
      </c>
      <c r="AG63" s="615"/>
    </row>
    <row r="64" spans="1:33" ht="15.75" customHeight="1">
      <c r="A64" s="619" t="s">
        <v>14</v>
      </c>
      <c r="B64" s="133" t="s">
        <v>32</v>
      </c>
      <c r="C64" s="616" t="s">
        <v>55</v>
      </c>
      <c r="D64" s="616"/>
      <c r="E64" s="29">
        <v>22.69</v>
      </c>
      <c r="F64" s="133">
        <v>4017</v>
      </c>
      <c r="G64" s="129">
        <f t="shared" ref="G64:G69" si="45">E64*F64</f>
        <v>91145.73000000001</v>
      </c>
      <c r="H64" s="33" t="s">
        <v>57</v>
      </c>
      <c r="I64" s="128">
        <v>15</v>
      </c>
      <c r="J64" s="31">
        <v>2400</v>
      </c>
      <c r="K64" s="12">
        <f t="shared" si="1"/>
        <v>160</v>
      </c>
      <c r="L64" s="128">
        <v>15</v>
      </c>
      <c r="M64" s="13">
        <f t="shared" ref="M64:M69" si="46">F64/V64*60</f>
        <v>2295.4285714285716</v>
      </c>
      <c r="N64" s="12">
        <f t="shared" si="3"/>
        <v>153.02857142857144</v>
      </c>
      <c r="O64" s="14">
        <f t="shared" si="4"/>
        <v>0</v>
      </c>
      <c r="P64" s="15">
        <f t="shared" si="5"/>
        <v>-6.9714285714285609</v>
      </c>
      <c r="Q64" s="130">
        <f t="shared" si="6"/>
        <v>0.95642857142857152</v>
      </c>
      <c r="R64" s="615">
        <f>Q70</f>
        <v>0.95364900683163512</v>
      </c>
      <c r="S64" s="34">
        <v>8.3333333333333329E-2</v>
      </c>
      <c r="T64" s="34">
        <v>0.15625</v>
      </c>
      <c r="U64" s="21"/>
      <c r="V64" s="131">
        <f t="shared" ref="V64:V69" si="47">(T64-S64)*24*60</f>
        <v>105</v>
      </c>
      <c r="W64" s="16">
        <f>T64</f>
        <v>0.15625</v>
      </c>
      <c r="X64" s="16">
        <f>S65</f>
        <v>0.17569444444444446</v>
      </c>
      <c r="Y64" s="16"/>
      <c r="Z64" s="16"/>
      <c r="AA64" s="617"/>
      <c r="AB64" s="617"/>
      <c r="AC64" s="35">
        <v>6</v>
      </c>
      <c r="AD64" s="18"/>
      <c r="AE64" s="14">
        <f t="shared" si="43"/>
        <v>-104.57142857142844</v>
      </c>
      <c r="AF64" s="130">
        <f t="shared" si="9"/>
        <v>0.95642857142857152</v>
      </c>
      <c r="AG64" s="615">
        <f>AF70</f>
        <v>0.95364900683163512</v>
      </c>
    </row>
    <row r="65" spans="1:33" ht="15.75" customHeight="1">
      <c r="A65" s="620" t="s">
        <v>14</v>
      </c>
      <c r="B65" s="133" t="s">
        <v>32</v>
      </c>
      <c r="C65" s="616" t="s">
        <v>56</v>
      </c>
      <c r="D65" s="616"/>
      <c r="E65" s="29">
        <v>19.02</v>
      </c>
      <c r="F65" s="133">
        <v>4200</v>
      </c>
      <c r="G65" s="129">
        <f t="shared" si="45"/>
        <v>79884</v>
      </c>
      <c r="H65" s="33">
        <v>2</v>
      </c>
      <c r="I65" s="128">
        <v>14</v>
      </c>
      <c r="J65" s="31">
        <v>2400</v>
      </c>
      <c r="K65" s="12">
        <f t="shared" si="1"/>
        <v>171.42857142857142</v>
      </c>
      <c r="L65" s="128">
        <v>14</v>
      </c>
      <c r="M65" s="13">
        <f t="shared" si="46"/>
        <v>2290.9090909090914</v>
      </c>
      <c r="N65" s="12">
        <f t="shared" si="3"/>
        <v>163.63636363636368</v>
      </c>
      <c r="O65" s="14">
        <f t="shared" si="4"/>
        <v>0</v>
      </c>
      <c r="P65" s="15">
        <f t="shared" si="5"/>
        <v>-7.7922077922077335</v>
      </c>
      <c r="Q65" s="130">
        <f t="shared" si="6"/>
        <v>0.95454545454545492</v>
      </c>
      <c r="R65" s="615"/>
      <c r="S65" s="34">
        <v>0.17569444444444446</v>
      </c>
      <c r="T65" s="34">
        <v>0.25208333333333333</v>
      </c>
      <c r="U65" s="129">
        <f t="shared" ref="U65:U69" si="48">(S65-T64)*24*60</f>
        <v>28.000000000000021</v>
      </c>
      <c r="V65" s="131">
        <f t="shared" si="47"/>
        <v>109.99999999999997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-109.09090909090855</v>
      </c>
      <c r="AF65" s="130">
        <f t="shared" si="9"/>
        <v>0.95454545454545481</v>
      </c>
      <c r="AG65" s="615"/>
    </row>
    <row r="66" spans="1:33" ht="15.75" customHeight="1">
      <c r="A66" s="620" t="s">
        <v>14</v>
      </c>
      <c r="B66" s="133" t="s">
        <v>32</v>
      </c>
      <c r="C66" s="616" t="s">
        <v>54</v>
      </c>
      <c r="D66" s="616"/>
      <c r="E66" s="29">
        <v>20.21</v>
      </c>
      <c r="F66" s="133">
        <v>3484</v>
      </c>
      <c r="G66" s="129">
        <f t="shared" si="45"/>
        <v>70411.64</v>
      </c>
      <c r="H66" s="33" t="s">
        <v>57</v>
      </c>
      <c r="I66" s="128">
        <v>15</v>
      </c>
      <c r="J66" s="31">
        <v>2400</v>
      </c>
      <c r="K66" s="12">
        <f t="shared" si="1"/>
        <v>160</v>
      </c>
      <c r="L66" s="128">
        <v>15</v>
      </c>
      <c r="M66" s="13">
        <f t="shared" si="46"/>
        <v>2297.1428571428569</v>
      </c>
      <c r="N66" s="12">
        <f t="shared" si="3"/>
        <v>153.14285714285714</v>
      </c>
      <c r="O66" s="14">
        <f t="shared" si="4"/>
        <v>0</v>
      </c>
      <c r="P66" s="15">
        <f t="shared" si="5"/>
        <v>-6.8571428571428612</v>
      </c>
      <c r="Q66" s="130">
        <f t="shared" si="6"/>
        <v>0.95714285714285707</v>
      </c>
      <c r="R66" s="615"/>
      <c r="S66" s="34">
        <v>0.25555555555555554</v>
      </c>
      <c r="T66" s="34">
        <v>0.31874999999999998</v>
      </c>
      <c r="U66" s="129">
        <f t="shared" si="48"/>
        <v>4.9999999999999822</v>
      </c>
      <c r="V66" s="131">
        <f t="shared" si="47"/>
        <v>91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-102.85714285714312</v>
      </c>
      <c r="AF66" s="130">
        <f t="shared" si="9"/>
        <v>0.95714285714285707</v>
      </c>
      <c r="AG66" s="615"/>
    </row>
    <row r="67" spans="1:33" ht="15.75" customHeight="1">
      <c r="A67" s="620" t="s">
        <v>14</v>
      </c>
      <c r="B67" s="133" t="s">
        <v>32</v>
      </c>
      <c r="C67" s="616" t="s">
        <v>84</v>
      </c>
      <c r="D67" s="616"/>
      <c r="E67" s="29">
        <v>20.21</v>
      </c>
      <c r="F67" s="133">
        <v>5213</v>
      </c>
      <c r="G67" s="129">
        <f t="shared" si="45"/>
        <v>105354.73000000001</v>
      </c>
      <c r="H67" s="33" t="s">
        <v>57</v>
      </c>
      <c r="I67" s="128">
        <v>18</v>
      </c>
      <c r="J67" s="31">
        <v>2400</v>
      </c>
      <c r="K67" s="12">
        <f t="shared" si="1"/>
        <v>133.33333333333334</v>
      </c>
      <c r="L67" s="128">
        <v>18</v>
      </c>
      <c r="M67" s="13">
        <f t="shared" si="46"/>
        <v>2283.0656934306567</v>
      </c>
      <c r="N67" s="12">
        <f t="shared" si="3"/>
        <v>126.83698296836981</v>
      </c>
      <c r="O67" s="14">
        <f t="shared" si="4"/>
        <v>0</v>
      </c>
      <c r="P67" s="15">
        <f t="shared" si="5"/>
        <v>-6.4963503649635328</v>
      </c>
      <c r="Q67" s="130">
        <f t="shared" si="6"/>
        <v>0.95127737226277354</v>
      </c>
      <c r="R67" s="615"/>
      <c r="S67" s="34">
        <v>0.32222222222222219</v>
      </c>
      <c r="T67" s="34">
        <v>0.41736111111111107</v>
      </c>
      <c r="U67" s="129">
        <f t="shared" si="48"/>
        <v>4.9999999999999822</v>
      </c>
      <c r="V67" s="131">
        <f t="shared" si="47"/>
        <v>137</v>
      </c>
      <c r="W67" s="16"/>
      <c r="X67" s="16"/>
      <c r="Y67" s="16"/>
      <c r="Z67" s="16"/>
      <c r="AA67" s="617"/>
      <c r="AB67" s="617"/>
      <c r="AC67" s="35"/>
      <c r="AD67" s="18"/>
      <c r="AE67" s="14">
        <f t="shared" si="43"/>
        <v>-116.93430656934333</v>
      </c>
      <c r="AF67" s="130">
        <f t="shared" si="9"/>
        <v>0.95127737226277365</v>
      </c>
      <c r="AG67" s="615"/>
    </row>
    <row r="68" spans="1:33" ht="15.75" customHeight="1">
      <c r="A68" s="620" t="s">
        <v>14</v>
      </c>
      <c r="B68" s="133" t="s">
        <v>32</v>
      </c>
      <c r="C68" s="616" t="s">
        <v>36</v>
      </c>
      <c r="D68" s="616"/>
      <c r="E68" s="29">
        <v>20.36</v>
      </c>
      <c r="F68" s="133">
        <v>5248</v>
      </c>
      <c r="G68" s="129">
        <f t="shared" si="45"/>
        <v>106849.28</v>
      </c>
      <c r="H68" s="33" t="s">
        <v>57</v>
      </c>
      <c r="I68" s="128">
        <v>17</v>
      </c>
      <c r="J68" s="31">
        <v>2400</v>
      </c>
      <c r="K68" s="12">
        <f t="shared" si="1"/>
        <v>141.1764705882353</v>
      </c>
      <c r="L68" s="128">
        <v>17</v>
      </c>
      <c r="M68" s="13">
        <f t="shared" si="46"/>
        <v>2281.7391304347825</v>
      </c>
      <c r="N68" s="12">
        <f t="shared" si="3"/>
        <v>134.21994884910487</v>
      </c>
      <c r="O68" s="14">
        <f t="shared" si="4"/>
        <v>0</v>
      </c>
      <c r="P68" s="15">
        <f t="shared" si="5"/>
        <v>-6.9565217391304373</v>
      </c>
      <c r="Q68" s="130">
        <f t="shared" si="6"/>
        <v>0.95072463768115945</v>
      </c>
      <c r="R68" s="615"/>
      <c r="S68" s="34">
        <v>0.42083333333333328</v>
      </c>
      <c r="T68" s="34">
        <v>0.51666666666666661</v>
      </c>
      <c r="U68" s="129">
        <f t="shared" si="48"/>
        <v>4.9999999999999822</v>
      </c>
      <c r="V68" s="131">
        <f t="shared" si="47"/>
        <v>138</v>
      </c>
      <c r="W68" s="16">
        <f>T68</f>
        <v>0.51666666666666661</v>
      </c>
      <c r="X68" s="16">
        <f>S69</f>
        <v>0.55486111111111103</v>
      </c>
      <c r="Y68" s="16"/>
      <c r="Z68" s="16"/>
      <c r="AA68" s="617"/>
      <c r="AB68" s="617"/>
      <c r="AC68" s="35"/>
      <c r="AD68" s="18"/>
      <c r="AE68" s="14">
        <f t="shared" si="43"/>
        <v>-118.26086956521749</v>
      </c>
      <c r="AF68" s="130">
        <f t="shared" si="9"/>
        <v>0.95072463768115933</v>
      </c>
      <c r="AG68" s="615"/>
    </row>
    <row r="69" spans="1:33" ht="15.75" customHeight="1">
      <c r="A69" s="620" t="s">
        <v>14</v>
      </c>
      <c r="B69" s="133" t="s">
        <v>32</v>
      </c>
      <c r="C69" s="616" t="s">
        <v>56</v>
      </c>
      <c r="D69" s="616"/>
      <c r="E69" s="29">
        <v>19.02</v>
      </c>
      <c r="F69" s="133">
        <v>6434</v>
      </c>
      <c r="G69" s="129">
        <f t="shared" si="45"/>
        <v>122374.68</v>
      </c>
      <c r="H69" s="33" t="s">
        <v>57</v>
      </c>
      <c r="I69" s="128">
        <v>14</v>
      </c>
      <c r="J69" s="31">
        <v>2400</v>
      </c>
      <c r="K69" s="12">
        <f t="shared" ref="K69:K70" si="49">J69/I69</f>
        <v>171.42857142857142</v>
      </c>
      <c r="L69" s="128">
        <v>14</v>
      </c>
      <c r="M69" s="13">
        <f t="shared" si="46"/>
        <v>2284.2603550295858</v>
      </c>
      <c r="N69" s="12">
        <f t="shared" ref="N69:N70" si="50">M69/L69</f>
        <v>163.1614539306847</v>
      </c>
      <c r="O69" s="14">
        <f t="shared" ref="O69:O70" si="51">L69-I69</f>
        <v>0</v>
      </c>
      <c r="P69" s="15">
        <f t="shared" ref="P69:P70" si="52">N69-K69</f>
        <v>-8.2671174978867157</v>
      </c>
      <c r="Q69" s="130">
        <f t="shared" ref="Q69:Q70" si="53">N69/K69</f>
        <v>0.9517751479289942</v>
      </c>
      <c r="R69" s="615"/>
      <c r="S69" s="34">
        <v>0.55486111111111103</v>
      </c>
      <c r="T69" s="34">
        <v>0.67222222222222217</v>
      </c>
      <c r="U69" s="129">
        <f t="shared" si="48"/>
        <v>54.999999999999964</v>
      </c>
      <c r="V69" s="131">
        <f t="shared" si="47"/>
        <v>169.00000000000003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-115.73964497041425</v>
      </c>
      <c r="AF69" s="130">
        <f t="shared" ref="AF69:AF70" si="54">M69/J69</f>
        <v>0.95177514792899409</v>
      </c>
      <c r="AG69" s="615"/>
    </row>
    <row r="70" spans="1:33" ht="16.5" customHeight="1">
      <c r="A70" s="621" t="s">
        <v>14</v>
      </c>
      <c r="B70" s="29" t="s">
        <v>6</v>
      </c>
      <c r="C70" s="612"/>
      <c r="D70" s="613"/>
      <c r="E70" s="136"/>
      <c r="F70" s="30"/>
      <c r="G70" s="12"/>
      <c r="H70" s="133"/>
      <c r="I70" s="23">
        <v>15.5</v>
      </c>
      <c r="J70" s="31">
        <v>2400</v>
      </c>
      <c r="K70" s="12">
        <f t="shared" si="49"/>
        <v>154.83870967741936</v>
      </c>
      <c r="L70" s="23">
        <v>15.5</v>
      </c>
      <c r="M70" s="13">
        <f>AVERAGE(M64:M69)</f>
        <v>2288.7576163959243</v>
      </c>
      <c r="N70" s="12">
        <f t="shared" si="50"/>
        <v>147.66178170296286</v>
      </c>
      <c r="O70" s="14">
        <f t="shared" si="51"/>
        <v>0</v>
      </c>
      <c r="P70" s="15">
        <f t="shared" si="52"/>
        <v>-7.176927974456504</v>
      </c>
      <c r="Q70" s="130">
        <f t="shared" si="53"/>
        <v>0.95364900683163512</v>
      </c>
      <c r="R70" s="615"/>
      <c r="S70" s="34"/>
      <c r="T70" s="34"/>
      <c r="U70" s="12"/>
      <c r="V70" s="131"/>
      <c r="W70" s="12"/>
      <c r="X70" s="12"/>
      <c r="Y70" s="24">
        <f>SUM(Y64:Y69)</f>
        <v>0</v>
      </c>
      <c r="Z70" s="24">
        <f>SUM(Z64:Z69)</f>
        <v>0</v>
      </c>
      <c r="AA70" s="614"/>
      <c r="AB70" s="614"/>
      <c r="AC70" s="24">
        <v>6</v>
      </c>
      <c r="AD70" s="24">
        <f>SUM(AD64:AD69)</f>
        <v>0</v>
      </c>
      <c r="AE70" s="14">
        <f t="shared" si="43"/>
        <v>-111.24238360407571</v>
      </c>
      <c r="AF70" s="130">
        <f t="shared" si="54"/>
        <v>0.95364900683163512</v>
      </c>
      <c r="AG70" s="615"/>
    </row>
    <row r="71" spans="1:33">
      <c r="D71" s="25"/>
      <c r="E71" s="25"/>
    </row>
  </sheetData>
  <mergeCells count="189">
    <mergeCell ref="AG64:AG70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64:A70"/>
    <mergeCell ref="C64:D64"/>
    <mergeCell ref="R64:R70"/>
    <mergeCell ref="AA64:AB64"/>
    <mergeCell ref="AA69:AB69"/>
    <mergeCell ref="A58:A63"/>
    <mergeCell ref="C58:D58"/>
    <mergeCell ref="R58:R63"/>
    <mergeCell ref="AA58:AB58"/>
    <mergeCell ref="C70:D70"/>
    <mergeCell ref="AA70:AB70"/>
    <mergeCell ref="AG58:AG63"/>
    <mergeCell ref="C59:D59"/>
    <mergeCell ref="AA59:AB59"/>
    <mergeCell ref="C60:D60"/>
    <mergeCell ref="AA60:AB60"/>
    <mergeCell ref="C61:D61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C62:D62"/>
    <mergeCell ref="AA62:AB62"/>
    <mergeCell ref="C63:D63"/>
    <mergeCell ref="AA63:AB63"/>
    <mergeCell ref="A50:A57"/>
    <mergeCell ref="C50:D50"/>
    <mergeCell ref="R50:R57"/>
    <mergeCell ref="AA50:AB50"/>
    <mergeCell ref="AG50:AG57"/>
    <mergeCell ref="C51:D51"/>
    <mergeCell ref="AA51:AB51"/>
    <mergeCell ref="C52:D52"/>
    <mergeCell ref="AA52:AB52"/>
    <mergeCell ref="AA53:AB53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AA44:AB44"/>
    <mergeCell ref="A45:A49"/>
    <mergeCell ref="C45:D45"/>
    <mergeCell ref="R45:R49"/>
    <mergeCell ref="AA45:AB45"/>
    <mergeCell ref="AA40:AB40"/>
    <mergeCell ref="C41:D41"/>
    <mergeCell ref="AA41:AB41"/>
    <mergeCell ref="C42:D42"/>
    <mergeCell ref="AA42:AB42"/>
    <mergeCell ref="C43:D43"/>
    <mergeCell ref="AA43:AB43"/>
    <mergeCell ref="A37:A44"/>
    <mergeCell ref="C37:D37"/>
    <mergeCell ref="R37:R44"/>
    <mergeCell ref="AA37:AB37"/>
    <mergeCell ref="A30:A36"/>
    <mergeCell ref="C30:D30"/>
    <mergeCell ref="R30:R36"/>
    <mergeCell ref="AA30:AB30"/>
    <mergeCell ref="AA35:AB35"/>
    <mergeCell ref="C36:D36"/>
    <mergeCell ref="AA36:AB36"/>
    <mergeCell ref="AG37:AG44"/>
    <mergeCell ref="C38:D38"/>
    <mergeCell ref="AA38:AB38"/>
    <mergeCell ref="C39:D39"/>
    <mergeCell ref="AA39:AB39"/>
    <mergeCell ref="C40:D40"/>
    <mergeCell ref="AG30:AG36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C44:D44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AA19:AB19"/>
    <mergeCell ref="C22:D22"/>
    <mergeCell ref="AA22:AB22"/>
    <mergeCell ref="A23:A29"/>
    <mergeCell ref="C23:D23"/>
    <mergeCell ref="R23:R29"/>
    <mergeCell ref="AA23:AB23"/>
    <mergeCell ref="AA28:AB28"/>
    <mergeCell ref="A15:A22"/>
    <mergeCell ref="C15:D15"/>
    <mergeCell ref="R15:R22"/>
    <mergeCell ref="AA15:AB15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7:O58 O61:O70 O5:O9 O14:O16 O22:O55">
    <cfRule type="cellIs" dxfId="247" priority="46" operator="greaterThan">
      <formula>0</formula>
    </cfRule>
  </conditionalFormatting>
  <conditionalFormatting sqref="P5:P7 P61:P62 AE61:AE62 P64:P69 P30:P35 P58 P9 P14:P16 P23:P28 P50:P55 P37:P48 AE5:AE58 AE64:AE70">
    <cfRule type="cellIs" dxfId="246" priority="50" operator="lessThan">
      <formula>0</formula>
    </cfRule>
  </conditionalFormatting>
  <conditionalFormatting sqref="AF61:AF62 Q57:Q58 Q61:Q70 Q5:Q9 Q14:Q16 Q22:Q55 AF5:AF58 AF64:AF70">
    <cfRule type="cellIs" dxfId="245" priority="47" operator="greaterThan">
      <formula>1</formula>
    </cfRule>
    <cfRule type="cellIs" dxfId="244" priority="48" operator="lessThan">
      <formula>0.8</formula>
    </cfRule>
  </conditionalFormatting>
  <conditionalFormatting sqref="AG15:AG16 R15:R16 AG61 AG57:AG58 R57:R58 R61:R70 AG5:AG9 R5:R9 R22:R55 AG22:AG55">
    <cfRule type="cellIs" dxfId="243" priority="52" operator="lessThan">
      <formula>0.8</formula>
    </cfRule>
  </conditionalFormatting>
  <conditionalFormatting sqref="AG45">
    <cfRule type="cellIs" dxfId="242" priority="54" operator="lessThan">
      <formula>0.8</formula>
    </cfRule>
  </conditionalFormatting>
  <conditionalFormatting sqref="AG23:AG28">
    <cfRule type="cellIs" dxfId="241" priority="51" operator="lessThan">
      <formula>0.8</formula>
    </cfRule>
  </conditionalFormatting>
  <conditionalFormatting sqref="AG30">
    <cfRule type="cellIs" dxfId="240" priority="53" operator="lessThan">
      <formula>0.8</formula>
    </cfRule>
  </conditionalFormatting>
  <conditionalFormatting sqref="AG37:AG43">
    <cfRule type="cellIs" dxfId="239" priority="49" operator="lessThan">
      <formula>0.8</formula>
    </cfRule>
  </conditionalFormatting>
  <conditionalFormatting sqref="AE63">
    <cfRule type="cellIs" dxfId="238" priority="45" operator="lessThan">
      <formula>0</formula>
    </cfRule>
  </conditionalFormatting>
  <conditionalFormatting sqref="AF63">
    <cfRule type="cellIs" dxfId="237" priority="43" operator="greaterThan">
      <formula>1</formula>
    </cfRule>
    <cfRule type="cellIs" dxfId="236" priority="44" operator="lessThan">
      <formula>0.8</formula>
    </cfRule>
  </conditionalFormatting>
  <conditionalFormatting sqref="O17:O18">
    <cfRule type="cellIs" dxfId="235" priority="38" operator="greaterThan">
      <formula>0</formula>
    </cfRule>
  </conditionalFormatting>
  <conditionalFormatting sqref="P17:P18">
    <cfRule type="cellIs" dxfId="234" priority="41" operator="lessThan">
      <formula>0</formula>
    </cfRule>
  </conditionalFormatting>
  <conditionalFormatting sqref="Q17:Q18">
    <cfRule type="cellIs" dxfId="233" priority="39" operator="greaterThan">
      <formula>1</formula>
    </cfRule>
    <cfRule type="cellIs" dxfId="232" priority="40" operator="lessThan">
      <formula>0.8</formula>
    </cfRule>
  </conditionalFormatting>
  <conditionalFormatting sqref="R17:R18 AG17:AG18">
    <cfRule type="cellIs" dxfId="231" priority="42" operator="lessThan">
      <formula>0.8</formula>
    </cfRule>
  </conditionalFormatting>
  <conditionalFormatting sqref="O10:O13">
    <cfRule type="cellIs" dxfId="230" priority="34" operator="greaterThan">
      <formula>0</formula>
    </cfRule>
  </conditionalFormatting>
  <conditionalFormatting sqref="P10:P13">
    <cfRule type="cellIs" dxfId="229" priority="37" operator="lessThan">
      <formula>0</formula>
    </cfRule>
  </conditionalFormatting>
  <conditionalFormatting sqref="Q10:Q13">
    <cfRule type="cellIs" dxfId="228" priority="35" operator="greaterThan">
      <formula>1</formula>
    </cfRule>
    <cfRule type="cellIs" dxfId="227" priority="36" operator="lessThan">
      <formula>0.8</formula>
    </cfRule>
  </conditionalFormatting>
  <conditionalFormatting sqref="O56">
    <cfRule type="cellIs" dxfId="226" priority="29" operator="greaterThan">
      <formula>0</formula>
    </cfRule>
  </conditionalFormatting>
  <conditionalFormatting sqref="P56">
    <cfRule type="cellIs" dxfId="225" priority="32" operator="lessThan">
      <formula>0</formula>
    </cfRule>
  </conditionalFormatting>
  <conditionalFormatting sqref="Q56">
    <cfRule type="cellIs" dxfId="224" priority="30" operator="greaterThan">
      <formula>1</formula>
    </cfRule>
    <cfRule type="cellIs" dxfId="223" priority="31" operator="lessThan">
      <formula>0.8</formula>
    </cfRule>
  </conditionalFormatting>
  <conditionalFormatting sqref="R56 AG56">
    <cfRule type="cellIs" dxfId="222" priority="33" operator="lessThan">
      <formula>0.8</formula>
    </cfRule>
  </conditionalFormatting>
  <conditionalFormatting sqref="O60">
    <cfRule type="cellIs" dxfId="221" priority="24" operator="greaterThan">
      <formula>0</formula>
    </cfRule>
  </conditionalFormatting>
  <conditionalFormatting sqref="P60 AE60">
    <cfRule type="cellIs" dxfId="220" priority="27" operator="lessThan">
      <formula>0</formula>
    </cfRule>
  </conditionalFormatting>
  <conditionalFormatting sqref="Q60 AF60">
    <cfRule type="cellIs" dxfId="219" priority="25" operator="greaterThan">
      <formula>1</formula>
    </cfRule>
    <cfRule type="cellIs" dxfId="218" priority="26" operator="lessThan">
      <formula>0.8</formula>
    </cfRule>
  </conditionalFormatting>
  <conditionalFormatting sqref="R60 AG60">
    <cfRule type="cellIs" dxfId="217" priority="28" operator="lessThan">
      <formula>0.8</formula>
    </cfRule>
  </conditionalFormatting>
  <conditionalFormatting sqref="O19:O20">
    <cfRule type="cellIs" dxfId="216" priority="19" operator="greaterThan">
      <formula>0</formula>
    </cfRule>
  </conditionalFormatting>
  <conditionalFormatting sqref="P19:P20">
    <cfRule type="cellIs" dxfId="215" priority="22" operator="lessThan">
      <formula>0</formula>
    </cfRule>
  </conditionalFormatting>
  <conditionalFormatting sqref="Q19:Q20">
    <cfRule type="cellIs" dxfId="214" priority="20" operator="greaterThan">
      <formula>1</formula>
    </cfRule>
    <cfRule type="cellIs" dxfId="213" priority="21" operator="lessThan">
      <formula>0.8</formula>
    </cfRule>
  </conditionalFormatting>
  <conditionalFormatting sqref="R19:R20 AG19:AG20">
    <cfRule type="cellIs" dxfId="212" priority="23" operator="lessThan">
      <formula>0.8</formula>
    </cfRule>
  </conditionalFormatting>
  <conditionalFormatting sqref="O59">
    <cfRule type="cellIs" dxfId="211" priority="14" operator="greaterThan">
      <formula>0</formula>
    </cfRule>
  </conditionalFormatting>
  <conditionalFormatting sqref="P59 AE59">
    <cfRule type="cellIs" dxfId="210" priority="17" operator="lessThan">
      <formula>0</formula>
    </cfRule>
  </conditionalFormatting>
  <conditionalFormatting sqref="Q59 AF59">
    <cfRule type="cellIs" dxfId="209" priority="15" operator="greaterThan">
      <formula>1</formula>
    </cfRule>
    <cfRule type="cellIs" dxfId="208" priority="16" operator="lessThan">
      <formula>0.8</formula>
    </cfRule>
  </conditionalFormatting>
  <conditionalFormatting sqref="R59 AG59">
    <cfRule type="cellIs" dxfId="207" priority="18" operator="lessThan">
      <formula>0.8</formula>
    </cfRule>
  </conditionalFormatting>
  <conditionalFormatting sqref="O21">
    <cfRule type="cellIs" dxfId="206" priority="9" operator="greaterThan">
      <formula>0</formula>
    </cfRule>
  </conditionalFormatting>
  <conditionalFormatting sqref="P21">
    <cfRule type="cellIs" dxfId="205" priority="12" operator="lessThan">
      <formula>0</formula>
    </cfRule>
  </conditionalFormatting>
  <conditionalFormatting sqref="Q21">
    <cfRule type="cellIs" dxfId="204" priority="10" operator="greaterThan">
      <formula>1</formula>
    </cfRule>
    <cfRule type="cellIs" dxfId="203" priority="11" operator="lessThan">
      <formula>0.8</formula>
    </cfRule>
  </conditionalFormatting>
  <conditionalFormatting sqref="AG21 R21">
    <cfRule type="cellIs" dxfId="202" priority="13" operator="lessThan">
      <formula>0.8</formula>
    </cfRule>
  </conditionalFormatting>
  <conditionalFormatting sqref="P8">
    <cfRule type="cellIs" dxfId="201" priority="8" operator="lessThan">
      <formula>0</formula>
    </cfRule>
  </conditionalFormatting>
  <conditionalFormatting sqref="P22">
    <cfRule type="cellIs" dxfId="200" priority="7" operator="lessThan">
      <formula>0</formula>
    </cfRule>
  </conditionalFormatting>
  <conditionalFormatting sqref="P29">
    <cfRule type="cellIs" dxfId="199" priority="6" operator="lessThan">
      <formula>0</formula>
    </cfRule>
  </conditionalFormatting>
  <conditionalFormatting sqref="P36">
    <cfRule type="cellIs" dxfId="198" priority="5" operator="lessThan">
      <formula>0</formula>
    </cfRule>
  </conditionalFormatting>
  <conditionalFormatting sqref="P49">
    <cfRule type="cellIs" dxfId="197" priority="4" operator="lessThan">
      <formula>0</formula>
    </cfRule>
  </conditionalFormatting>
  <conditionalFormatting sqref="P57">
    <cfRule type="cellIs" dxfId="196" priority="3" operator="lessThan">
      <formula>0</formula>
    </cfRule>
  </conditionalFormatting>
  <conditionalFormatting sqref="P63">
    <cfRule type="cellIs" dxfId="195" priority="2" operator="lessThan">
      <formula>0</formula>
    </cfRule>
  </conditionalFormatting>
  <conditionalFormatting sqref="P70">
    <cfRule type="cellIs" dxfId="194" priority="1" operator="lessThan">
      <formula>0</formula>
    </cfRule>
  </conditionalFormatting>
  <dataValidations count="1">
    <dataValidation type="list" allowBlank="1" showInputMessage="1" showErrorMessage="1" sqref="AB8 AA5:AB7 AB62 AB10:AB58 AA8:AA62 AA63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W11" sqref="W11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185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186</v>
      </c>
      <c r="C3" s="601" t="str">
        <f>TEXT('0602 4度C'!A2,"yyyy.mm.ddaaaa")</f>
        <v>2026.06.02星期二</v>
      </c>
      <c r="D3" s="602"/>
      <c r="E3" s="39" t="s">
        <v>187</v>
      </c>
      <c r="F3" s="603">
        <f>'0602 4度C'!D1</f>
        <v>201987</v>
      </c>
      <c r="G3" s="604"/>
      <c r="H3" s="39" t="s">
        <v>188</v>
      </c>
      <c r="I3" s="605">
        <f>'0602 4度C'!F1</f>
        <v>6933318.4899999965</v>
      </c>
      <c r="J3" s="606"/>
      <c r="K3" s="40"/>
      <c r="L3" s="41"/>
      <c r="M3" s="42"/>
      <c r="N3" s="42"/>
    </row>
    <row r="4" spans="2:17" ht="28.5" customHeight="1">
      <c r="B4" s="607" t="s">
        <v>189</v>
      </c>
      <c r="C4" s="593" t="s">
        <v>190</v>
      </c>
      <c r="D4" s="594"/>
      <c r="E4" s="610" t="s">
        <v>191</v>
      </c>
      <c r="F4" s="611"/>
      <c r="G4" s="610" t="s">
        <v>95</v>
      </c>
      <c r="H4" s="611"/>
      <c r="I4" s="610" t="s">
        <v>192</v>
      </c>
      <c r="J4" s="611"/>
      <c r="K4" s="591" t="s">
        <v>193</v>
      </c>
      <c r="L4" s="592"/>
      <c r="M4" s="592" t="s">
        <v>194</v>
      </c>
      <c r="N4" s="592"/>
    </row>
    <row r="5" spans="2:17" ht="28.5" customHeight="1">
      <c r="B5" s="608"/>
      <c r="C5" s="593" t="s">
        <v>195</v>
      </c>
      <c r="D5" s="594"/>
      <c r="E5" s="593" t="s">
        <v>196</v>
      </c>
      <c r="F5" s="594"/>
      <c r="G5" s="595" t="s">
        <v>197</v>
      </c>
      <c r="H5" s="596"/>
      <c r="I5" s="597" t="s">
        <v>198</v>
      </c>
      <c r="J5" s="598"/>
      <c r="K5" s="43" t="s">
        <v>199</v>
      </c>
      <c r="L5" s="44" t="s">
        <v>78</v>
      </c>
      <c r="M5" s="43" t="s">
        <v>199</v>
      </c>
      <c r="N5" s="44" t="s">
        <v>200</v>
      </c>
    </row>
    <row r="6" spans="2:17" ht="28.5" customHeight="1">
      <c r="B6" s="608"/>
      <c r="C6" s="593" t="s">
        <v>58</v>
      </c>
      <c r="D6" s="594"/>
      <c r="E6" s="585">
        <f>AVERAGE(D13:M13)</f>
        <v>152.73415860813299</v>
      </c>
      <c r="F6" s="586">
        <f>AVERAGE(D31:O31,D13:J13)</f>
        <v>158.80951595160286</v>
      </c>
      <c r="G6" s="587">
        <f>AVERAGE(D13:J13)</f>
        <v>158.80951595160286</v>
      </c>
      <c r="H6" s="588"/>
      <c r="I6" s="587">
        <f>AVERAGE(K13:M13)</f>
        <v>138.55832480670315</v>
      </c>
      <c r="J6" s="588"/>
      <c r="K6" s="589">
        <f>'0602 4度C'!Y2</f>
        <v>0</v>
      </c>
      <c r="L6" s="574">
        <f>'0602 4度C'!Z2</f>
        <v>0</v>
      </c>
      <c r="M6" s="590">
        <f>'0602 4度C'!AC2</f>
        <v>61</v>
      </c>
      <c r="N6" s="574">
        <f>'0602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146.30700018522941</v>
      </c>
      <c r="F7" s="578">
        <f>AVERAGE(D32:O32,D14:J14)</f>
        <v>152.24130660272542</v>
      </c>
      <c r="G7" s="579">
        <f>AVERAGE(D14:J14)</f>
        <v>152.24130660272542</v>
      </c>
      <c r="H7" s="580"/>
      <c r="I7" s="579">
        <f>AVERAGE(K14:M14)</f>
        <v>132.46028521107209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0.95761192659453354</v>
      </c>
      <c r="F8" s="582">
        <f>AVERAGE(D15:J15,D33:O33)</f>
        <v>0.95835416217948244</v>
      </c>
      <c r="G8" s="583">
        <f>AVERAGE(D15:J15)</f>
        <v>0.95835416217948244</v>
      </c>
      <c r="H8" s="584"/>
      <c r="I8" s="583">
        <f>AVERAGE(K15:M15)</f>
        <v>0.95588004356298617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104</v>
      </c>
      <c r="N9" s="42"/>
      <c r="O9" s="42"/>
      <c r="P9" s="42"/>
      <c r="Q9" s="42"/>
    </row>
    <row r="10" spans="2:17" ht="30" customHeight="1">
      <c r="B10" s="557" t="s">
        <v>201</v>
      </c>
      <c r="C10" s="558"/>
      <c r="D10" s="559" t="s">
        <v>202</v>
      </c>
      <c r="E10" s="560"/>
      <c r="F10" s="560"/>
      <c r="G10" s="560"/>
      <c r="H10" s="560"/>
      <c r="I10" s="560"/>
      <c r="J10" s="561"/>
      <c r="K10" s="562" t="s">
        <v>203</v>
      </c>
      <c r="L10" s="563"/>
      <c r="M10" s="564"/>
      <c r="P10" s="48"/>
      <c r="Q10" s="48"/>
    </row>
    <row r="11" spans="2:17" ht="17.25" customHeight="1">
      <c r="B11" s="565" t="s">
        <v>204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205</v>
      </c>
      <c r="C13" s="55" t="s">
        <v>110</v>
      </c>
      <c r="D13" s="56">
        <f>SUMIFS('0602 4度C'!$K:$K,'0602 4度C'!$A:$A,"新豐6線",'0602 4度C'!$B:$B,"平均")</f>
        <v>130.43478260869566</v>
      </c>
      <c r="E13" s="57">
        <f>SUMIFS('0602 4度C'!$K:$K,'0602 4度C'!$A:$A,"新豐2線",'0602 4度C'!$B:$B,"平均")</f>
        <v>85.22727272727272</v>
      </c>
      <c r="F13" s="58">
        <f>SUMIFS('0602 4度C'!$K:$K,'0602 4度C'!$A:$A,"新豐5線",'0602 4度C'!$B:$B,"平均")</f>
        <v>86.666666666666671</v>
      </c>
      <c r="G13" s="58">
        <f>SUMIFS('0602 4度C'!$K:$K,'0602 4度C'!$A:$A,"新豐7線",'0602 4度C'!$B:$B,"平均")</f>
        <v>125</v>
      </c>
      <c r="H13" s="58">
        <f>SUMIFS('0602 4度C'!$K:$K,'0602 4度C'!$A:$A,"新豐3線",'0602 4度C'!$B:$B,"平均")</f>
        <v>255.81395348837211</v>
      </c>
      <c r="I13" s="58">
        <f>SUMIFS('0602 4度C'!$K:$K,'0602 4度C'!$A:$A,"新豐1線",'0602 4度C'!$B:$B,"平均")</f>
        <v>109.375</v>
      </c>
      <c r="J13" s="59">
        <f>SUMIFS('0602 4度C'!$K:$K,'0602 4度C'!$A:$A,"新豐10線",'0602 4度C'!$B:$B,"平均")</f>
        <v>319.14893617021278</v>
      </c>
      <c r="K13" s="60">
        <f>SUMIFS('0602 4度C'!$K:$K,'0602 4度C'!$A:$A,"新豐8線",'0602 4度C'!$B:$B,"平均")</f>
        <v>137.70491803278691</v>
      </c>
      <c r="L13" s="61">
        <f>SUMIFS('0602 4度C'!$K:$K,'0602 4度C'!$A:$A,"新豐9線",'0602 4度C'!$B:$B,"平均")</f>
        <v>126.61870503597122</v>
      </c>
      <c r="M13" s="59">
        <f>SUMIFS('0602 4度C'!$K:$K,'0602 4度C'!$A:$A,"新豐4線",'0602 4度C'!$B:$B,"平均")</f>
        <v>151.35135135135135</v>
      </c>
    </row>
    <row r="14" spans="2:17" ht="39.6" customHeight="1">
      <c r="B14" s="570"/>
      <c r="C14" s="62" t="s">
        <v>206</v>
      </c>
      <c r="D14" s="63">
        <f>SUMIFS('0602 4度C'!$N:$N,'0602 4度C'!$A:$A,"新豐6線",'0602 4度C'!$B:$B,"平均")</f>
        <v>125.11513934168049</v>
      </c>
      <c r="E14" s="64">
        <f>SUMIFS('0602 4度C'!$N:$N,'0602 4度C'!$A:$A,"新豐2線",'0602 4度C'!$B:$B,"平均")</f>
        <v>81.398222767838604</v>
      </c>
      <c r="F14" s="64">
        <f>SUMIFS('0602 4度C'!$N:$N,'0602 4度C'!$A:$A,"新豐5線",'0602 4度C'!$B:$B,"平均")</f>
        <v>83.196016879026999</v>
      </c>
      <c r="G14" s="64">
        <f>SUMIFS('0602 4度C'!$N:$N,'0602 4度C'!$A:$A,"新豐7線",'0602 4度C'!$B:$B,"平均")</f>
        <v>119.96656154257293</v>
      </c>
      <c r="H14" s="64">
        <f>SUMIFS('0602 4度C'!$N:$N,'0602 4度C'!$A:$A,"新豐3線",'0602 4度C'!$B:$B,"平均")</f>
        <v>244.24990481069747</v>
      </c>
      <c r="I14" s="64">
        <f>SUMIFS('0602 4度C'!$N:$N,'0602 4度C'!$A:$A,"新豐1線",'0602 4度C'!$B:$B,"平均")</f>
        <v>104.75327408141729</v>
      </c>
      <c r="J14" s="65">
        <f>SUMIFS('0602 4度C'!$N:$N,'0602 4度C'!$A:$A,"新豐10線",'0602 4度C'!$B:$B,"平均")</f>
        <v>307.01002679584406</v>
      </c>
      <c r="K14" s="66">
        <f>SUMIFS('0602 4度C'!$N:$N,'0602 4度C'!$A:$A,"新豐8線",'0602 4度C'!$B:$B,"平均")</f>
        <v>131.57748008401103</v>
      </c>
      <c r="L14" s="67">
        <f>SUMIFS('0602 4度C'!$N:$N,'0602 4度C'!$A:$A,"新豐9線",'0602 4度C'!$B:$B,"平均")</f>
        <v>120.82598043185396</v>
      </c>
      <c r="M14" s="65">
        <f>SUMIFS('0602 4度C'!$N:$N,'0602 4度C'!$A:$A,"新豐4線",'0602 4度C'!$B:$B,"平均")</f>
        <v>144.97739511735128</v>
      </c>
    </row>
    <row r="15" spans="2:17" ht="40.15" customHeight="1">
      <c r="B15" s="571"/>
      <c r="C15" s="68" t="s">
        <v>207</v>
      </c>
      <c r="D15" s="69">
        <f t="shared" ref="D15:M15" si="0">D14/D13</f>
        <v>0.95921606828621708</v>
      </c>
      <c r="E15" s="70">
        <f t="shared" si="0"/>
        <v>0.95507248047597304</v>
      </c>
      <c r="F15" s="70">
        <f t="shared" si="0"/>
        <v>0.95995404091184988</v>
      </c>
      <c r="G15" s="70">
        <f t="shared" si="0"/>
        <v>0.95973249234058344</v>
      </c>
      <c r="H15" s="70">
        <f t="shared" si="0"/>
        <v>0.95479508244181732</v>
      </c>
      <c r="I15" s="70">
        <f t="shared" si="0"/>
        <v>0.95774422017295802</v>
      </c>
      <c r="J15" s="71">
        <f t="shared" si="0"/>
        <v>0.96196475062697795</v>
      </c>
      <c r="K15" s="69">
        <f t="shared" si="0"/>
        <v>0.95550312918150848</v>
      </c>
      <c r="L15" s="70">
        <f t="shared" si="0"/>
        <v>0.95425064091066492</v>
      </c>
      <c r="M15" s="71">
        <f t="shared" si="0"/>
        <v>0.95788636059678522</v>
      </c>
    </row>
    <row r="16" spans="2:17" ht="17.25" customHeight="1">
      <c r="B16" s="572" t="s">
        <v>208</v>
      </c>
      <c r="C16" s="72" t="s">
        <v>209</v>
      </c>
      <c r="D16" s="73">
        <f>VLOOKUP("新豐6線",'0602 4度C'!$A:$T,19,0)</f>
        <v>0.70833333333333337</v>
      </c>
      <c r="E16" s="74">
        <f>VLOOKUP("新豐2線",'0602 4度C'!$A:$T,19,0)</f>
        <v>8.3333333333333329E-2</v>
      </c>
      <c r="F16" s="74">
        <f>VLOOKUP("新豐5線",'0602 4度C'!$A:$T,19,0)</f>
        <v>8.3333333333333329E-2</v>
      </c>
      <c r="G16" s="74">
        <f>VLOOKUP("新豐7線",'0602 4度C'!$A:$T,19,0)</f>
        <v>0.20833333333333334</v>
      </c>
      <c r="H16" s="74">
        <f>VLOOKUP("新豐3線",'0602 4度C'!$A:$T,19,0)</f>
        <v>8.3333333333333329E-2</v>
      </c>
      <c r="I16" s="74">
        <f>VLOOKUP("新豐1線",'0602 4度C'!$A:$T,19,0)</f>
        <v>0.20833333333333334</v>
      </c>
      <c r="J16" s="75">
        <f>VLOOKUP("新豐10線",'0602 4度C'!$A:$T,19,0)</f>
        <v>0.20833333333333334</v>
      </c>
      <c r="K16" s="76">
        <f>VLOOKUP("新豐8線",'0602 4度C'!$A:$T,19,0)</f>
        <v>8.3333333333333329E-2</v>
      </c>
      <c r="L16" s="77">
        <f>VLOOKUP("新豐9線",'0602 4度C'!$A:$T,19,0)</f>
        <v>8.3333333333333329E-2</v>
      </c>
      <c r="M16" s="78">
        <f>VLOOKUP("新豐4線",'0602 4度C'!$A:$T,19,0)</f>
        <v>8.3333333333333329E-2</v>
      </c>
    </row>
    <row r="17" spans="2:13" ht="17.25" customHeight="1">
      <c r="B17" s="573"/>
      <c r="C17" s="72" t="s">
        <v>210</v>
      </c>
      <c r="D17" s="76">
        <f>LOOKUP(2,1/(('0602 4度C'!$A:$A="新豐6線")*('0602 4度C'!$T:$T&lt;&gt;"")),'0602 4度C'!$T:$T)</f>
        <v>0.83819444444444446</v>
      </c>
      <c r="E17" s="74">
        <f>LOOKUP(2,1/(('0602 4度C'!$A:$A="新豐2線")*('0602 4度C'!$T:$T&lt;&gt;"")),'0602 4度C'!$T:$T)</f>
        <v>0.7138888888888888</v>
      </c>
      <c r="F17" s="74">
        <f>LOOKUP(2,1/(('0602 4度C'!$A:$A="新豐5線")*('0602 4度C'!$T:$T&lt;&gt;"")),'0602 4度C'!$T:$T)</f>
        <v>0.82291666666666663</v>
      </c>
      <c r="G17" s="74">
        <f>LOOKUP(2,1/(('0602 4度C'!$A:$A="新豐7線")*('0602 4度C'!$T:$T&lt;&gt;"")),'0602 4度C'!$T:$T)</f>
        <v>0.83958333333333335</v>
      </c>
      <c r="H17" s="74">
        <f>LOOKUP(2,1/(('0602 4度C'!$A:$A="新豐3線")*('0602 4度C'!$T:$T&lt;&gt;"")),'0602 4度C'!$T:$T)</f>
        <v>0.4236111111111111</v>
      </c>
      <c r="I17" s="74">
        <f>LOOKUP(2,1/(('0602 4度C'!$A:$A="新豐1線")*('0602 4度C'!$T:$T&lt;&gt;"")),'0602 4度C'!$T:$T)</f>
        <v>0.83611111111111114</v>
      </c>
      <c r="J17" s="75">
        <f>LOOKUP(2,1/(('0602 4度C'!$A:$A="新豐10線")*('0602 4度C'!$T:$T&lt;&gt;"")),'0602 4度C'!$T:$T)</f>
        <v>0.40902777777777777</v>
      </c>
      <c r="K17" s="73">
        <f>LOOKUP(2,1/(('0602 4度C'!$A:$A="新豐8線")*('0602 4度C'!$T:$T&lt;&gt;"")),'0602 4度C'!$T:$T)</f>
        <v>0.74583333333333324</v>
      </c>
      <c r="L17" s="74">
        <f>LOOKUP(2,1/(('0602 4度C'!$A:$A="新豐9線")*('0602 4度C'!$T:$T&lt;&gt;"")),'0602 4度C'!$T:$T)</f>
        <v>0.74166666666666659</v>
      </c>
      <c r="M17" s="75">
        <f>LOOKUP(2,1/(('0602 4度C'!$A:$A="新豐4線")*('0602 4度C'!$T:$T&lt;&gt;"")),'0602 4度C'!$T:$T)</f>
        <v>0.69236111111111098</v>
      </c>
    </row>
    <row r="18" spans="2:13" ht="17.25" customHeight="1">
      <c r="B18" s="551" t="s">
        <v>211</v>
      </c>
      <c r="C18" s="79" t="s">
        <v>212</v>
      </c>
      <c r="D18" s="80">
        <f>SUMIFS('0602 4度C'!$Y:$Y,'0602 4度C'!$A:$A,"新豐6線",'0602 4度C'!$B:$B,"平均")</f>
        <v>0</v>
      </c>
      <c r="E18" s="81">
        <f>SUMIFS('0602 4度C'!$Y:$Y,'0602 4度C'!$A:$A,"新豐2線",'0602 4度C'!$B:$B,"平均")</f>
        <v>0</v>
      </c>
      <c r="F18" s="81">
        <f>SUMIFS('0602 4度C'!$Y:$Y,'0602 4度C'!$A:$A,"新豐5線",'0602 4度C'!$B:$B,"平均")</f>
        <v>0</v>
      </c>
      <c r="G18" s="81">
        <f>SUMIFS('0602 4度C'!$Y:$Y,'0602 4度C'!$A:$A,"新豐7線",'0602 4度C'!$B:$B,"平均")</f>
        <v>0</v>
      </c>
      <c r="H18" s="81">
        <f>SUMIFS('0602 4度C'!$Y:$Y,'0602 4度C'!$A:$A,"新豐3線",'0602 4度C'!$B:$B,"平均")</f>
        <v>0</v>
      </c>
      <c r="I18" s="81">
        <f>SUMIFS('0602 4度C'!$Y:$Y,'0602 4度C'!$A:$A,"新豐1線",'0602 4度C'!$B:$B,"平均")</f>
        <v>0</v>
      </c>
      <c r="J18" s="82">
        <f>SUMIFS('0602 4度C'!$Y:$Y,'0602 4度C'!$A:$A,"新豐10線",'0602 4度C'!$B:$B,"平均")</f>
        <v>0</v>
      </c>
      <c r="K18" s="83">
        <f>SUMIFS('0602 4度C'!$Y:$Y,'0602 4度C'!$A:$A,"新豐8線",'0602 4度C'!$B:$B,"平均")</f>
        <v>0</v>
      </c>
      <c r="L18" s="81">
        <f>SUMIFS('0602 4度C'!$Y:$Y,'0602 4度C'!$A:$A,"新豐9線",'0602 4度C'!$B:$B,"平均")</f>
        <v>0</v>
      </c>
      <c r="M18" s="82">
        <f>SUMIFS('0602 4度C'!$Y:$Y,'0602 4度C'!$A:$A,"新豐4線",'0602 4度C'!$B:$B,"平均")</f>
        <v>0</v>
      </c>
    </row>
    <row r="19" spans="2:13" ht="17.25" customHeight="1">
      <c r="B19" s="552"/>
      <c r="C19" s="79" t="s">
        <v>213</v>
      </c>
      <c r="D19" s="80">
        <f>SUMIFS('0602 4度C'!$Z:$Z,'0602 4度C'!$A:$A,"新豐6線",'0602 4度C'!$B:$B,"平均")</f>
        <v>0</v>
      </c>
      <c r="E19" s="81">
        <f>SUMIFS('0602 4度C'!$Z:$Z,'0602 4度C'!$A:$A,"新豐2線",'0602 4度C'!$B:$B,"平均")</f>
        <v>0</v>
      </c>
      <c r="F19" s="81">
        <f>SUMIFS('0602 4度C'!$Z:$Z,'0602 4度C'!$A:$A,"新豐5線",'0602 4度C'!$B:$B,"平均")</f>
        <v>0</v>
      </c>
      <c r="G19" s="81">
        <f>SUMIFS('0602 4度C'!$Z:$Z,'0602 4度C'!$A:$A,"新豐7線",'0602 4度C'!$B:$B,"平均")</f>
        <v>0</v>
      </c>
      <c r="H19" s="81">
        <f>SUMIFS('0602 4度C'!$Z:$Z,'0602 4度C'!$A:$A,"新豐3線",'0602 4度C'!$B:$B,"平均")</f>
        <v>0</v>
      </c>
      <c r="I19" s="81">
        <f>SUMIFS('0602 4度C'!$Z:$Z,'0602 4度C'!$A:$A,"新豐1線",'0602 4度C'!$B:$B,"平均")</f>
        <v>0</v>
      </c>
      <c r="J19" s="82">
        <f>SUMIFS('0602 4度C'!$Z:$Z,'0602 4度C'!$A:$A,"新豐10線",'0602 4度C'!$B:$B,"平均")</f>
        <v>0</v>
      </c>
      <c r="K19" s="83">
        <f>SUMIFS('0602 4度C'!$Z:$Z,'0602 4度C'!$A:$A,"新豐8線",'0602 4度C'!$B:$B,"平均")</f>
        <v>0</v>
      </c>
      <c r="L19" s="81">
        <f>SUMIFS('0602 4度C'!$Z:$Z,'0602 4度C'!$A:$A,"新豐9線",'0602 4度C'!$B:$B,"平均")</f>
        <v>0</v>
      </c>
      <c r="M19" s="82">
        <f>SUMIFS('0602 4度C'!$Z:$Z,'0602 4度C'!$A:$A,"新豐4線",'0602 4度C'!$B:$B,"平均")</f>
        <v>0</v>
      </c>
    </row>
    <row r="20" spans="2:13" ht="17.25" customHeight="1">
      <c r="B20" s="551" t="s">
        <v>119</v>
      </c>
      <c r="C20" s="79" t="s">
        <v>212</v>
      </c>
      <c r="D20" s="80">
        <f>SUMIFS('0602 4度C'!$AC:$AC,'0602 4度C'!$A:$A,"新豐6線",'0602 4度C'!$B:$B,"平均")</f>
        <v>3</v>
      </c>
      <c r="E20" s="81">
        <f>SUMIFS('0602 4度C'!$AC:$AC,'0602 4度C'!$A:$A,"新豐2線",'0602 4度C'!$B:$B,"平均")</f>
        <v>5</v>
      </c>
      <c r="F20" s="81">
        <f>SUMIFS('0602 4度C'!$AC:$AC,'0602 4度C'!$A:$A,"新豐5線",'0602 4度C'!$B:$B,"平均")</f>
        <v>8</v>
      </c>
      <c r="G20" s="81">
        <f>SUMIFS('0602 4度C'!$AC:$AC,'0602 4度C'!$A:$A,"新豐7線",'0602 4度C'!$B:$B,"平均")</f>
        <v>7</v>
      </c>
      <c r="H20" s="81">
        <f>SUMIFS('0602 4度C'!$AC:$AC,'0602 4度C'!$A:$A,"新豐3線",'0602 4度C'!$B:$B,"平均")</f>
        <v>4</v>
      </c>
      <c r="I20" s="81">
        <f>SUMIFS('0602 4度C'!$AC:$AC,'0602 4度C'!$A:$A,"新豐1線",'0602 4度C'!$B:$B,"平均")</f>
        <v>7</v>
      </c>
      <c r="J20" s="82">
        <f>SUMIFS('0602 4度C'!$AC:$AC,'0602 4度C'!$A:$A,"新豐10線",'0602 4度C'!$B:$B,"平均")</f>
        <v>5</v>
      </c>
      <c r="K20" s="83">
        <f>SUMIFS('0602 4度C'!$AC:$AC,'0602 4度C'!$A:$A,"新豐8線",'0602 4度C'!$B:$B,"平均")</f>
        <v>7</v>
      </c>
      <c r="L20" s="81">
        <f>SUMIFS('0602 4度C'!$AC:$AC,'0602 4度C'!$A:$A,"新豐9線",'0602 4度C'!$B:$B,"平均")</f>
        <v>8</v>
      </c>
      <c r="M20" s="82">
        <f>SUMIFS('0602 4度C'!$AC:$AC,'0602 4度C'!$A:$A,"新豐4線",'0602 4度C'!$B:$B,"平均")</f>
        <v>7</v>
      </c>
    </row>
    <row r="21" spans="2:13" ht="17.25" customHeight="1">
      <c r="B21" s="552"/>
      <c r="C21" s="79" t="s">
        <v>214</v>
      </c>
      <c r="D21" s="80">
        <f>SUMIFS('0602 4度C'!$AD:$AD,'0602 4度C'!$A:$A,"新豐6線",'0602 4度C'!$B:$B,"平均")</f>
        <v>0</v>
      </c>
      <c r="E21" s="81">
        <f>SUMIFS('0602 4度C'!$AD:$AD,'0602 4度C'!$A:$A,"新豐2線",'0602 4度C'!$B:$B,"平均")</f>
        <v>0</v>
      </c>
      <c r="F21" s="81">
        <f>SUMIFS('0602 4度C'!$AD:$AD,'0602 4度C'!$A:$A,"新豐5線",'0602 4度C'!$B:$B,"平均")</f>
        <v>0</v>
      </c>
      <c r="G21" s="81">
        <f>SUMIFS('0602 4度C'!$AD:$AD,'0602 4度C'!$A:$A,"新豐7線",'0602 4度C'!$B:$B,"平均")</f>
        <v>0</v>
      </c>
      <c r="H21" s="81">
        <f>SUMIFS('0602 4度C'!$AD:$AD,'0602 4度C'!$A:$A,"新豐3線",'0602 4度C'!$B:$B,"平均")</f>
        <v>0</v>
      </c>
      <c r="I21" s="81">
        <f>SUMIFS('0602 4度C'!$AD:$AD,'0602 4度C'!$A:$A,"新豐1線",'0602 4度C'!$B:$B,"平均")</f>
        <v>0</v>
      </c>
      <c r="J21" s="82">
        <f>SUMIFS('0602 4度C'!$AD:$AD,'0602 4度C'!$A:$A,"新豐10線",'0602 4度C'!$B:$B,"平均")</f>
        <v>0</v>
      </c>
      <c r="K21" s="83">
        <f>SUMIFS('0602 4度C'!$AD:$AD,'0602 4度C'!$A:$A,"新豐8線",'0602 4度C'!$B:$B,"平均")</f>
        <v>0</v>
      </c>
      <c r="L21" s="81">
        <f>SUMIFS('0602 4度C'!$AD:$AD,'0602 4度C'!$A:$A,"新豐9線",'0602 4度C'!$B:$B,"平均")</f>
        <v>0</v>
      </c>
      <c r="M21" s="82">
        <f>SUMIFS('0602 4度C'!$AD:$AD,'0602 4度C'!$A:$A,"新豐4線",'0602 4度C'!$B:$B,"平均")</f>
        <v>0</v>
      </c>
    </row>
    <row r="22" spans="2:13" ht="17.25" customHeight="1">
      <c r="B22" s="553" t="s">
        <v>215</v>
      </c>
      <c r="C22" s="554"/>
      <c r="D22" s="84">
        <f>SUMIFS('0602 4度C'!$I:$I,'0602 4度C'!$A:$A,"新豐6線",'0602 4度C'!$B:$B,"平均")</f>
        <v>15.333333333333334</v>
      </c>
      <c r="E22" s="85">
        <f>SUMIFS('0602 4度C'!$I:$I,'0602 4度C'!$A:$A,"新豐2線",'0602 4度C'!$B:$B,"平均")</f>
        <v>17.600000000000001</v>
      </c>
      <c r="F22" s="85">
        <f>SUMIFS('0602 4度C'!$I:$I,'0602 4度C'!$A:$A,"新豐5線",'0602 4度C'!$B:$B,"平均")</f>
        <v>18.75</v>
      </c>
      <c r="G22" s="85">
        <f>SUMIFS('0602 4度C'!$I:$I,'0602 4度C'!$A:$A,"新豐7線",'0602 4度C'!$B:$B,"平均")</f>
        <v>15.428571428571429</v>
      </c>
      <c r="H22" s="85">
        <f>SUMIFS('0602 4度C'!$I:$I,'0602 4度C'!$A:$A,"新豐3線",'0602 4度C'!$B:$B,"平均")</f>
        <v>10.75</v>
      </c>
      <c r="I22" s="85">
        <f>SUMIFS('0602 4度C'!$I:$I,'0602 4度C'!$A:$A,"新豐1線",'0602 4度C'!$B:$B,"平均")</f>
        <v>18.285714285714285</v>
      </c>
      <c r="J22" s="86">
        <f>SUMIFS('0602 4度C'!$I:$I,'0602 4度C'!$A:$A,"新豐10線",'0602 4度C'!$B:$B,"平均")</f>
        <v>9.4</v>
      </c>
      <c r="K22" s="84">
        <f>SUMIFS('0602 4度C'!$I:$I,'0602 4度C'!$A:$A,"新豐8線",'0602 4度C'!$B:$B,"平均")</f>
        <v>17.428571428571427</v>
      </c>
      <c r="L22" s="85">
        <f>SUMIFS('0602 4度C'!$I:$I,'0602 4度C'!$A:$A,"新豐9線",'0602 4度C'!$B:$B,"平均")</f>
        <v>17.375</v>
      </c>
      <c r="M22" s="86">
        <f>SUMIFS('0602 4度C'!$I:$I,'0602 4度C'!$A:$A,"新豐4線",'0602 4度C'!$B:$B,"平均")</f>
        <v>15.857142857142858</v>
      </c>
    </row>
    <row r="23" spans="2:13" ht="17.25" customHeight="1">
      <c r="B23" s="553" t="s">
        <v>216</v>
      </c>
      <c r="C23" s="554"/>
      <c r="D23" s="87" t="s">
        <v>71</v>
      </c>
      <c r="E23" s="88" t="s">
        <v>72</v>
      </c>
      <c r="F23" s="88" t="s">
        <v>123</v>
      </c>
      <c r="G23" s="88" t="s">
        <v>217</v>
      </c>
      <c r="H23" s="88" t="s">
        <v>73</v>
      </c>
      <c r="I23" s="88" t="s">
        <v>71</v>
      </c>
      <c r="J23" s="89" t="s">
        <v>73</v>
      </c>
      <c r="K23" s="87" t="s">
        <v>218</v>
      </c>
      <c r="L23" s="88" t="s">
        <v>219</v>
      </c>
      <c r="M23" s="89" t="s">
        <v>219</v>
      </c>
    </row>
    <row r="24" spans="2:13" ht="17.25" customHeight="1">
      <c r="B24" s="553" t="s">
        <v>220</v>
      </c>
      <c r="C24" s="554"/>
      <c r="D24" s="87"/>
      <c r="E24" s="88"/>
      <c r="F24" s="88" t="s">
        <v>221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222</v>
      </c>
      <c r="C25" s="556"/>
      <c r="D25" s="90"/>
      <c r="E25" s="91" t="s">
        <v>223</v>
      </c>
      <c r="F25" s="549" t="s">
        <v>224</v>
      </c>
      <c r="G25" s="550"/>
      <c r="H25" s="91" t="s">
        <v>225</v>
      </c>
      <c r="I25" s="91" t="s">
        <v>131</v>
      </c>
      <c r="J25" s="92" t="s">
        <v>225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9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122"/>
  <sheetViews>
    <sheetView topLeftCell="L1" zoomScale="80" zoomScaleNormal="80" workbookViewId="0">
      <pane ySplit="4" topLeftCell="A5" activePane="bottomLeft" state="frozen"/>
      <selection activeCell="M32" sqref="M32"/>
      <selection pane="bottomLeft" activeCell="W11" sqref="W11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226</v>
      </c>
      <c r="B1" s="1"/>
      <c r="C1" s="2" t="s">
        <v>227</v>
      </c>
      <c r="D1" s="3">
        <f>SUM(F5:F75)</f>
        <v>201987</v>
      </c>
      <c r="E1" s="119" t="s">
        <v>228</v>
      </c>
      <c r="F1" s="1">
        <f>SUM(G5:G75)</f>
        <v>6933318.4899999965</v>
      </c>
      <c r="G1" s="1" t="s">
        <v>229</v>
      </c>
      <c r="H1" s="4">
        <f>L8+L14+L53+L61+L23+L67+L39+L48+L31+L75</f>
        <v>156.20833333333334</v>
      </c>
      <c r="I1" s="663" t="s">
        <v>136</v>
      </c>
      <c r="J1" s="663"/>
      <c r="K1" s="663"/>
      <c r="L1" s="663" t="s">
        <v>230</v>
      </c>
      <c r="M1" s="663"/>
      <c r="N1" s="663"/>
      <c r="O1" s="663" t="s">
        <v>231</v>
      </c>
      <c r="P1" s="663"/>
      <c r="Q1" s="663"/>
      <c r="R1" s="663"/>
      <c r="S1" s="663" t="s">
        <v>232</v>
      </c>
      <c r="T1" s="663"/>
      <c r="U1" s="663"/>
      <c r="V1" s="663"/>
      <c r="W1" s="663"/>
      <c r="X1" s="663"/>
      <c r="Y1" s="5" t="s">
        <v>233</v>
      </c>
      <c r="Z1" s="6" t="s">
        <v>234</v>
      </c>
      <c r="AA1" s="664" t="s">
        <v>235</v>
      </c>
      <c r="AB1" s="664"/>
      <c r="AC1" s="94" t="s">
        <v>233</v>
      </c>
      <c r="AD1" s="6" t="s">
        <v>236</v>
      </c>
      <c r="AE1" s="663" t="s">
        <v>237</v>
      </c>
      <c r="AF1" s="665"/>
      <c r="AG1" s="665"/>
    </row>
    <row r="2" spans="1:33" ht="26.25" customHeight="1">
      <c r="A2" s="27">
        <v>46175</v>
      </c>
      <c r="B2" s="28" t="s">
        <v>238</v>
      </c>
      <c r="C2" s="2" t="s">
        <v>239</v>
      </c>
      <c r="D2" s="8">
        <f>AVERAGE(N8,N14,N53,N61,N23,N67,N31,N39,N48,N75)</f>
        <v>146.30700018522941</v>
      </c>
      <c r="E2" s="9" t="s">
        <v>0</v>
      </c>
      <c r="F2" s="10">
        <f>F1/D1</f>
        <v>34.325567932589706</v>
      </c>
      <c r="G2" s="1" t="s">
        <v>240</v>
      </c>
      <c r="H2" s="126">
        <f>COUNT(H5:H75)</f>
        <v>12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SUM(Y8+Y14+Y23+Y31+Y39+Y48+Y53+Y61+Y67+Y75)</f>
        <v>0</v>
      </c>
      <c r="Z2" s="11">
        <f>SUM(Z8+Z14+Z23+Z31+Z39+Z48+Z53+Z61+Z67+Z75)</f>
        <v>0</v>
      </c>
      <c r="AA2" s="664"/>
      <c r="AB2" s="664"/>
      <c r="AC2" s="95">
        <v>61</v>
      </c>
      <c r="AD2" s="11">
        <f>SUM(AD8+AD14+AD23+AD31+AD39+AD48+AD53+AD61+AD67+AD75)</f>
        <v>0</v>
      </c>
      <c r="AE2" s="665"/>
      <c r="AF2" s="665"/>
      <c r="AG2" s="665"/>
    </row>
    <row r="3" spans="1:33" ht="40.5" customHeight="1">
      <c r="A3" s="617" t="s">
        <v>241</v>
      </c>
      <c r="B3" s="617" t="s">
        <v>242</v>
      </c>
      <c r="C3" s="617" t="s">
        <v>243</v>
      </c>
      <c r="D3" s="617"/>
      <c r="E3" s="661" t="s">
        <v>244</v>
      </c>
      <c r="F3" s="617" t="s">
        <v>245</v>
      </c>
      <c r="G3" s="661" t="s">
        <v>246</v>
      </c>
      <c r="H3" s="654" t="s">
        <v>247</v>
      </c>
      <c r="I3" s="652" t="s">
        <v>248</v>
      </c>
      <c r="J3" s="649" t="s">
        <v>249</v>
      </c>
      <c r="K3" s="659" t="s">
        <v>239</v>
      </c>
      <c r="L3" s="652" t="s">
        <v>250</v>
      </c>
      <c r="M3" s="649" t="s">
        <v>249</v>
      </c>
      <c r="N3" s="659" t="s">
        <v>239</v>
      </c>
      <c r="O3" s="652" t="s">
        <v>250</v>
      </c>
      <c r="P3" s="659" t="s">
        <v>239</v>
      </c>
      <c r="Q3" s="650" t="s">
        <v>251</v>
      </c>
      <c r="R3" s="630" t="s">
        <v>252</v>
      </c>
      <c r="S3" s="660" t="s">
        <v>1</v>
      </c>
      <c r="T3" s="660"/>
      <c r="U3" s="654" t="s">
        <v>2</v>
      </c>
      <c r="V3" s="654" t="s">
        <v>253</v>
      </c>
      <c r="W3" s="617" t="s">
        <v>254</v>
      </c>
      <c r="X3" s="617"/>
      <c r="Y3" s="655" t="s">
        <v>255</v>
      </c>
      <c r="Z3" s="614"/>
      <c r="AA3" s="656" t="s">
        <v>256</v>
      </c>
      <c r="AB3" s="657"/>
      <c r="AC3" s="655" t="s">
        <v>257</v>
      </c>
      <c r="AD3" s="614"/>
      <c r="AE3" s="649" t="s">
        <v>163</v>
      </c>
      <c r="AF3" s="650" t="s">
        <v>258</v>
      </c>
      <c r="AG3" s="630" t="s">
        <v>259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125" t="s">
        <v>3</v>
      </c>
      <c r="T4" s="125" t="s">
        <v>4</v>
      </c>
      <c r="U4" s="654"/>
      <c r="V4" s="654"/>
      <c r="W4" s="119" t="s">
        <v>260</v>
      </c>
      <c r="X4" s="119" t="s">
        <v>261</v>
      </c>
      <c r="Y4" s="117" t="s">
        <v>262</v>
      </c>
      <c r="Z4" s="117" t="s">
        <v>263</v>
      </c>
      <c r="AA4" s="658"/>
      <c r="AB4" s="657"/>
      <c r="AC4" s="117" t="s">
        <v>264</v>
      </c>
      <c r="AD4" s="117" t="s">
        <v>265</v>
      </c>
      <c r="AE4" s="649"/>
      <c r="AF4" s="650"/>
      <c r="AG4" s="630"/>
    </row>
    <row r="5" spans="1:33">
      <c r="A5" s="651" t="s">
        <v>266</v>
      </c>
      <c r="B5" s="29" t="s">
        <v>15</v>
      </c>
      <c r="C5" s="653" t="s">
        <v>17</v>
      </c>
      <c r="D5" s="653"/>
      <c r="E5" s="29">
        <v>50.67</v>
      </c>
      <c r="F5" s="125">
        <v>1578</v>
      </c>
      <c r="G5" s="119">
        <f t="shared" ref="G5:G7" si="0">E5*F5</f>
        <v>79957.260000000009</v>
      </c>
      <c r="H5" s="33" t="s">
        <v>57</v>
      </c>
      <c r="I5" s="123">
        <v>15</v>
      </c>
      <c r="J5" s="31">
        <v>2000</v>
      </c>
      <c r="K5" s="12">
        <f t="shared" ref="K5:K68" si="1">J5/I5</f>
        <v>133.33333333333334</v>
      </c>
      <c r="L5" s="123">
        <v>15</v>
      </c>
      <c r="M5" s="13">
        <f t="shared" ref="M5:M7" si="2">F5/V5*60</f>
        <v>1932.2448979591843</v>
      </c>
      <c r="N5" s="12">
        <f t="shared" ref="N5:N68" si="3">M5/L5</f>
        <v>128.81632653061229</v>
      </c>
      <c r="O5" s="14">
        <f t="shared" ref="O5:O68" si="4">L5-I5</f>
        <v>0</v>
      </c>
      <c r="P5" s="15">
        <f t="shared" ref="P5:P68" si="5">N5-K5</f>
        <v>-4.5170068027210561</v>
      </c>
      <c r="Q5" s="118">
        <f t="shared" ref="Q5:Q68" si="6">N5/K5</f>
        <v>0.9661224489795921</v>
      </c>
      <c r="R5" s="615">
        <f>Q8</f>
        <v>0.95921606828621708</v>
      </c>
      <c r="S5" s="34">
        <v>0.70833333333333337</v>
      </c>
      <c r="T5" s="34">
        <v>0.74236111111111114</v>
      </c>
      <c r="U5" s="119"/>
      <c r="V5" s="124">
        <f t="shared" ref="V5:V7" si="7">(T5-S5)*24*60</f>
        <v>48.999999999999986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60" si="8">M5-J5</f>
        <v>-67.7551020408157</v>
      </c>
      <c r="AF5" s="118">
        <f t="shared" ref="AF5:AF68" si="9">M5/J5</f>
        <v>0.9661224489795921</v>
      </c>
      <c r="AG5" s="615">
        <f>AF8</f>
        <v>0.95921606828621708</v>
      </c>
    </row>
    <row r="6" spans="1:33">
      <c r="A6" s="652" t="s">
        <v>5</v>
      </c>
      <c r="B6" s="29" t="s">
        <v>15</v>
      </c>
      <c r="C6" s="653" t="s">
        <v>26</v>
      </c>
      <c r="D6" s="653"/>
      <c r="E6" s="29">
        <v>50.92</v>
      </c>
      <c r="F6" s="125">
        <v>2417</v>
      </c>
      <c r="G6" s="119">
        <f t="shared" si="0"/>
        <v>123073.64</v>
      </c>
      <c r="H6" s="33" t="s">
        <v>57</v>
      </c>
      <c r="I6" s="123">
        <v>15</v>
      </c>
      <c r="J6" s="31">
        <v>2000</v>
      </c>
      <c r="K6" s="12">
        <f t="shared" si="1"/>
        <v>133.33333333333334</v>
      </c>
      <c r="L6" s="123">
        <v>15</v>
      </c>
      <c r="M6" s="13">
        <f t="shared" si="2"/>
        <v>1908.1578947368407</v>
      </c>
      <c r="N6" s="12">
        <f t="shared" si="3"/>
        <v>127.21052631578938</v>
      </c>
      <c r="O6" s="14">
        <f t="shared" si="4"/>
        <v>0</v>
      </c>
      <c r="P6" s="15">
        <f t="shared" si="5"/>
        <v>-6.1228070175439626</v>
      </c>
      <c r="Q6" s="118">
        <f t="shared" si="6"/>
        <v>0.95407894736842025</v>
      </c>
      <c r="R6" s="615"/>
      <c r="S6" s="34">
        <v>0.74791666666666667</v>
      </c>
      <c r="T6" s="34">
        <v>0.80069444444444449</v>
      </c>
      <c r="U6" s="119">
        <f t="shared" ref="U6:U7" si="10">IF(S6=TIME(17,0,0),"",(S6-T5)*24*60)</f>
        <v>7.9999999999999716</v>
      </c>
      <c r="V6" s="124">
        <f t="shared" si="7"/>
        <v>76.000000000000057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-91.842105263159283</v>
      </c>
      <c r="AF6" s="118">
        <f t="shared" si="9"/>
        <v>0.95407894736842036</v>
      </c>
      <c r="AG6" s="615"/>
    </row>
    <row r="7" spans="1:33">
      <c r="A7" s="652" t="s">
        <v>5</v>
      </c>
      <c r="B7" s="29" t="s">
        <v>15</v>
      </c>
      <c r="C7" s="644" t="s">
        <v>31</v>
      </c>
      <c r="D7" s="645"/>
      <c r="E7" s="29">
        <v>50.98</v>
      </c>
      <c r="F7" s="125">
        <v>1500</v>
      </c>
      <c r="G7" s="119">
        <f t="shared" si="0"/>
        <v>76470</v>
      </c>
      <c r="H7" s="33">
        <v>2</v>
      </c>
      <c r="I7" s="123">
        <v>16</v>
      </c>
      <c r="J7" s="31">
        <v>2000</v>
      </c>
      <c r="K7" s="12">
        <f t="shared" si="1"/>
        <v>125</v>
      </c>
      <c r="L7" s="123">
        <v>16</v>
      </c>
      <c r="M7" s="13">
        <f t="shared" si="2"/>
        <v>1914.8936170212769</v>
      </c>
      <c r="N7" s="12">
        <f t="shared" si="3"/>
        <v>119.68085106382981</v>
      </c>
      <c r="O7" s="14">
        <f t="shared" si="4"/>
        <v>0</v>
      </c>
      <c r="P7" s="15">
        <f t="shared" si="5"/>
        <v>-5.319148936170194</v>
      </c>
      <c r="Q7" s="118">
        <f t="shared" si="6"/>
        <v>0.95744680851063846</v>
      </c>
      <c r="R7" s="615"/>
      <c r="S7" s="34">
        <v>0.80555555555555558</v>
      </c>
      <c r="T7" s="34">
        <v>0.83819444444444446</v>
      </c>
      <c r="U7" s="119">
        <f t="shared" si="10"/>
        <v>6.9999999999999751</v>
      </c>
      <c r="V7" s="124">
        <f t="shared" si="7"/>
        <v>46.999999999999993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-85.106382978723104</v>
      </c>
      <c r="AF7" s="118">
        <f t="shared" si="9"/>
        <v>0.95744680851063846</v>
      </c>
      <c r="AG7" s="615"/>
    </row>
    <row r="8" spans="1:33">
      <c r="A8" s="652" t="s">
        <v>5</v>
      </c>
      <c r="B8" s="29" t="s">
        <v>6</v>
      </c>
      <c r="C8" s="618"/>
      <c r="D8" s="618"/>
      <c r="E8" s="120"/>
      <c r="F8" s="30"/>
      <c r="G8" s="12"/>
      <c r="H8" s="125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1918.4321365724343</v>
      </c>
      <c r="N8" s="12">
        <f t="shared" si="3"/>
        <v>125.11513934168049</v>
      </c>
      <c r="O8" s="14">
        <f t="shared" si="4"/>
        <v>0</v>
      </c>
      <c r="P8" s="15">
        <f t="shared" si="5"/>
        <v>-5.3196432670151665</v>
      </c>
      <c r="Q8" s="118">
        <f t="shared" si="6"/>
        <v>0.95921606828621708</v>
      </c>
      <c r="R8" s="615"/>
      <c r="S8" s="34"/>
      <c r="T8" s="34"/>
      <c r="U8" s="119"/>
      <c r="V8" s="124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-81.567863427565726</v>
      </c>
      <c r="AF8" s="118">
        <f t="shared" si="9"/>
        <v>0.95921606828621708</v>
      </c>
      <c r="AG8" s="615"/>
    </row>
    <row r="9" spans="1:33" ht="15.75" customHeight="1">
      <c r="A9" s="648" t="s">
        <v>7</v>
      </c>
      <c r="B9" s="29" t="s">
        <v>19</v>
      </c>
      <c r="C9" s="644" t="s">
        <v>20</v>
      </c>
      <c r="D9" s="645"/>
      <c r="E9" s="29">
        <v>39.619999999999997</v>
      </c>
      <c r="F9" s="125">
        <v>3400</v>
      </c>
      <c r="G9" s="119">
        <f t="shared" ref="G9:G13" si="11">E9*F9</f>
        <v>134708</v>
      </c>
      <c r="H9" s="33">
        <v>2</v>
      </c>
      <c r="I9" s="123">
        <v>19</v>
      </c>
      <c r="J9" s="31">
        <v>1500</v>
      </c>
      <c r="K9" s="12">
        <f t="shared" si="1"/>
        <v>78.94736842105263</v>
      </c>
      <c r="L9" s="123">
        <v>19</v>
      </c>
      <c r="M9" s="13">
        <f t="shared" ref="M9:M13" si="12">F9/V9*60</f>
        <v>1436.6197183098591</v>
      </c>
      <c r="N9" s="12">
        <f t="shared" si="3"/>
        <v>75.611564121571533</v>
      </c>
      <c r="O9" s="14">
        <f t="shared" si="4"/>
        <v>0</v>
      </c>
      <c r="P9" s="15">
        <f t="shared" si="5"/>
        <v>-3.3358042994810972</v>
      </c>
      <c r="Q9" s="118">
        <f t="shared" si="6"/>
        <v>0.95774647887323938</v>
      </c>
      <c r="R9" s="615">
        <f>Q14</f>
        <v>0.95507248047597304</v>
      </c>
      <c r="S9" s="34">
        <v>8.3333333333333329E-2</v>
      </c>
      <c r="T9" s="34">
        <v>0.18194444444444444</v>
      </c>
      <c r="U9" s="119"/>
      <c r="V9" s="124">
        <f t="shared" ref="V9:V13" si="13">(T9-S9)*24*60</f>
        <v>142</v>
      </c>
      <c r="W9" s="16">
        <f>T9</f>
        <v>0.18194444444444444</v>
      </c>
      <c r="X9" s="16">
        <f>S10</f>
        <v>0.20208333333333334</v>
      </c>
      <c r="Y9" s="16"/>
      <c r="Z9" s="16"/>
      <c r="AA9" s="617"/>
      <c r="AB9" s="617"/>
      <c r="AC9" s="35">
        <v>5</v>
      </c>
      <c r="AD9" s="18"/>
      <c r="AE9" s="14">
        <f t="shared" si="8"/>
        <v>-63.380281690140919</v>
      </c>
      <c r="AF9" s="118">
        <f t="shared" si="9"/>
        <v>0.95774647887323938</v>
      </c>
      <c r="AG9" s="615">
        <f>AF14</f>
        <v>0.95507248047597293</v>
      </c>
    </row>
    <row r="10" spans="1:33" ht="15.75" customHeight="1">
      <c r="A10" s="648" t="s">
        <v>7</v>
      </c>
      <c r="B10" s="29" t="s">
        <v>19</v>
      </c>
      <c r="C10" s="644" t="s">
        <v>21</v>
      </c>
      <c r="D10" s="645"/>
      <c r="E10" s="29">
        <v>39.799999999999997</v>
      </c>
      <c r="F10" s="125">
        <v>4700</v>
      </c>
      <c r="G10" s="119">
        <f t="shared" si="11"/>
        <v>187060</v>
      </c>
      <c r="H10" s="33">
        <v>2</v>
      </c>
      <c r="I10" s="123">
        <v>17</v>
      </c>
      <c r="J10" s="31">
        <v>1500</v>
      </c>
      <c r="K10" s="12">
        <f t="shared" si="1"/>
        <v>88.235294117647058</v>
      </c>
      <c r="L10" s="123">
        <v>17</v>
      </c>
      <c r="M10" s="13">
        <f t="shared" si="12"/>
        <v>1431.4720812182738</v>
      </c>
      <c r="N10" s="12">
        <f t="shared" si="3"/>
        <v>84.204240071663165</v>
      </c>
      <c r="O10" s="14">
        <f t="shared" si="4"/>
        <v>0</v>
      </c>
      <c r="P10" s="15">
        <f t="shared" si="5"/>
        <v>-4.0310540459838933</v>
      </c>
      <c r="Q10" s="118">
        <f t="shared" si="6"/>
        <v>0.95431472081218249</v>
      </c>
      <c r="R10" s="615"/>
      <c r="S10" s="34">
        <v>0.20208333333333334</v>
      </c>
      <c r="T10" s="34">
        <v>0.33888888888888891</v>
      </c>
      <c r="U10" s="119">
        <f t="shared" ref="U10:U13" si="14">IF(S10=TIME(17,0,0),"",(S10-T9)*24*60)</f>
        <v>29.000000000000018</v>
      </c>
      <c r="V10" s="124">
        <f t="shared" si="13"/>
        <v>197.00000000000003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-68.527918781726157</v>
      </c>
      <c r="AF10" s="118">
        <f t="shared" si="9"/>
        <v>0.9543147208121826</v>
      </c>
      <c r="AG10" s="615"/>
    </row>
    <row r="11" spans="1:33" ht="15.75" customHeight="1">
      <c r="A11" s="648" t="s">
        <v>7</v>
      </c>
      <c r="B11" s="29" t="s">
        <v>19</v>
      </c>
      <c r="C11" s="644" t="s">
        <v>83</v>
      </c>
      <c r="D11" s="645"/>
      <c r="E11" s="29">
        <v>39.46</v>
      </c>
      <c r="F11" s="125">
        <v>5043</v>
      </c>
      <c r="G11" s="119">
        <f t="shared" si="11"/>
        <v>198996.78</v>
      </c>
      <c r="H11" s="33" t="s">
        <v>57</v>
      </c>
      <c r="I11" s="123">
        <v>16</v>
      </c>
      <c r="J11" s="31">
        <v>1500</v>
      </c>
      <c r="K11" s="12">
        <f t="shared" si="1"/>
        <v>93.75</v>
      </c>
      <c r="L11" s="123">
        <v>16</v>
      </c>
      <c r="M11" s="13">
        <f t="shared" si="12"/>
        <v>1434.0284360189571</v>
      </c>
      <c r="N11" s="12">
        <f t="shared" si="3"/>
        <v>89.626777251184819</v>
      </c>
      <c r="O11" s="14">
        <f t="shared" si="4"/>
        <v>0</v>
      </c>
      <c r="P11" s="15">
        <f t="shared" si="5"/>
        <v>-4.1232227488151807</v>
      </c>
      <c r="Q11" s="118">
        <f t="shared" si="6"/>
        <v>0.95601895734597142</v>
      </c>
      <c r="R11" s="615"/>
      <c r="S11" s="34">
        <v>0.34375</v>
      </c>
      <c r="T11" s="34">
        <v>0.49027777777777781</v>
      </c>
      <c r="U11" s="119">
        <f t="shared" si="14"/>
        <v>6.9999999999999751</v>
      </c>
      <c r="V11" s="124">
        <f t="shared" si="13"/>
        <v>211.00000000000006</v>
      </c>
      <c r="W11" s="16">
        <f>T11</f>
        <v>0.49027777777777781</v>
      </c>
      <c r="X11" s="16">
        <f>S12</f>
        <v>0.53194444444444444</v>
      </c>
      <c r="Y11" s="16"/>
      <c r="Z11" s="16"/>
      <c r="AA11" s="617"/>
      <c r="AB11" s="617"/>
      <c r="AC11" s="35"/>
      <c r="AD11" s="18"/>
      <c r="AE11" s="14">
        <f t="shared" si="8"/>
        <v>-65.971563981042891</v>
      </c>
      <c r="AF11" s="118">
        <f t="shared" si="9"/>
        <v>0.95601895734597142</v>
      </c>
      <c r="AG11" s="615"/>
    </row>
    <row r="12" spans="1:33" ht="15.75" customHeight="1">
      <c r="A12" s="648" t="s">
        <v>7</v>
      </c>
      <c r="B12" s="29" t="s">
        <v>19</v>
      </c>
      <c r="C12" s="644" t="s">
        <v>21</v>
      </c>
      <c r="D12" s="645"/>
      <c r="E12" s="29">
        <v>39.799999999999997</v>
      </c>
      <c r="F12" s="125">
        <v>3599</v>
      </c>
      <c r="G12" s="119">
        <f t="shared" si="11"/>
        <v>143240.19999999998</v>
      </c>
      <c r="H12" s="33" t="s">
        <v>57</v>
      </c>
      <c r="I12" s="123">
        <v>17</v>
      </c>
      <c r="J12" s="31">
        <v>1500</v>
      </c>
      <c r="K12" s="12">
        <f t="shared" si="1"/>
        <v>88.235294117647058</v>
      </c>
      <c r="L12" s="123">
        <v>17</v>
      </c>
      <c r="M12" s="13">
        <f t="shared" si="12"/>
        <v>1430.0662251655633</v>
      </c>
      <c r="N12" s="12">
        <f t="shared" si="3"/>
        <v>84.121542656797843</v>
      </c>
      <c r="O12" s="14">
        <f t="shared" si="4"/>
        <v>0</v>
      </c>
      <c r="P12" s="15">
        <f t="shared" si="5"/>
        <v>-4.1137514608492154</v>
      </c>
      <c r="Q12" s="118">
        <f t="shared" si="6"/>
        <v>0.95337748344370887</v>
      </c>
      <c r="R12" s="615"/>
      <c r="S12" s="34">
        <v>0.53194444444444444</v>
      </c>
      <c r="T12" s="34">
        <v>0.63680555555555551</v>
      </c>
      <c r="U12" s="119">
        <f t="shared" si="14"/>
        <v>59.999999999999943</v>
      </c>
      <c r="V12" s="124">
        <f t="shared" si="13"/>
        <v>150.99999999999994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-69.93377483443669</v>
      </c>
      <c r="AF12" s="118">
        <f t="shared" si="9"/>
        <v>0.95337748344370887</v>
      </c>
      <c r="AG12" s="615"/>
    </row>
    <row r="13" spans="1:33" ht="15.75" customHeight="1">
      <c r="A13" s="648" t="s">
        <v>7</v>
      </c>
      <c r="B13" s="29" t="s">
        <v>19</v>
      </c>
      <c r="C13" s="644" t="s">
        <v>20</v>
      </c>
      <c r="D13" s="645"/>
      <c r="E13" s="29">
        <v>39.619999999999997</v>
      </c>
      <c r="F13" s="125">
        <v>2504</v>
      </c>
      <c r="G13" s="119">
        <f t="shared" si="11"/>
        <v>99208.48</v>
      </c>
      <c r="H13" s="33" t="s">
        <v>57</v>
      </c>
      <c r="I13" s="123">
        <v>19</v>
      </c>
      <c r="J13" s="31">
        <v>1500</v>
      </c>
      <c r="K13" s="12">
        <f t="shared" si="1"/>
        <v>78.94736842105263</v>
      </c>
      <c r="L13" s="123">
        <v>19</v>
      </c>
      <c r="M13" s="13">
        <f t="shared" si="12"/>
        <v>1430.8571428571436</v>
      </c>
      <c r="N13" s="12">
        <f t="shared" si="3"/>
        <v>75.308270676691762</v>
      </c>
      <c r="O13" s="14">
        <f t="shared" si="4"/>
        <v>0</v>
      </c>
      <c r="P13" s="15">
        <f t="shared" si="5"/>
        <v>-3.6390977443608676</v>
      </c>
      <c r="Q13" s="118">
        <f t="shared" si="6"/>
        <v>0.95390476190476237</v>
      </c>
      <c r="R13" s="615"/>
      <c r="S13" s="34">
        <v>0.64097222222222217</v>
      </c>
      <c r="T13" s="34">
        <v>0.7138888888888888</v>
      </c>
      <c r="U13" s="119">
        <f t="shared" si="14"/>
        <v>5.9999999999999787</v>
      </c>
      <c r="V13" s="124">
        <f t="shared" si="13"/>
        <v>104.99999999999994</v>
      </c>
      <c r="W13" s="16"/>
      <c r="X13" s="16"/>
      <c r="Y13" s="19"/>
      <c r="Z13" s="19"/>
      <c r="AA13" s="624"/>
      <c r="AB13" s="625"/>
      <c r="AC13" s="35"/>
      <c r="AD13" s="18"/>
      <c r="AE13" s="14">
        <f t="shared" si="8"/>
        <v>-69.142857142856428</v>
      </c>
      <c r="AF13" s="118">
        <f t="shared" si="9"/>
        <v>0.95390476190476237</v>
      </c>
      <c r="AG13" s="615"/>
    </row>
    <row r="14" spans="1:33" ht="16.5" customHeight="1">
      <c r="A14" s="648" t="s">
        <v>7</v>
      </c>
      <c r="B14" s="29" t="s">
        <v>6</v>
      </c>
      <c r="C14" s="618"/>
      <c r="D14" s="618"/>
      <c r="E14" s="120"/>
      <c r="F14" s="31"/>
      <c r="G14" s="13"/>
      <c r="H14" s="125"/>
      <c r="I14" s="23">
        <v>17.600000000000001</v>
      </c>
      <c r="J14" s="31">
        <v>1500</v>
      </c>
      <c r="K14" s="12">
        <f t="shared" si="1"/>
        <v>85.22727272727272</v>
      </c>
      <c r="L14" s="23">
        <v>17.600000000000001</v>
      </c>
      <c r="M14" s="13">
        <f>AVERAGE(M9:M13)</f>
        <v>1432.6087207139594</v>
      </c>
      <c r="N14" s="12">
        <f t="shared" si="3"/>
        <v>81.398222767838604</v>
      </c>
      <c r="O14" s="14">
        <f t="shared" si="4"/>
        <v>0</v>
      </c>
      <c r="P14" s="15">
        <f t="shared" si="5"/>
        <v>-3.8290499594341156</v>
      </c>
      <c r="Q14" s="118">
        <f t="shared" si="6"/>
        <v>0.95507248047597304</v>
      </c>
      <c r="R14" s="615"/>
      <c r="S14" s="34"/>
      <c r="T14" s="34"/>
      <c r="U14" s="12"/>
      <c r="V14" s="124"/>
      <c r="W14" s="12"/>
      <c r="X14" s="12"/>
      <c r="Y14" s="24">
        <f>SUM(Y9:Y13)</f>
        <v>0</v>
      </c>
      <c r="Z14" s="24">
        <f>SUM(Z9:Z13)</f>
        <v>0</v>
      </c>
      <c r="AA14" s="614"/>
      <c r="AB14" s="614"/>
      <c r="AC14" s="24">
        <v>5</v>
      </c>
      <c r="AD14" s="24">
        <f>SUM(AD9:AD13)</f>
        <v>0</v>
      </c>
      <c r="AE14" s="14">
        <f t="shared" si="8"/>
        <v>-67.391279286040572</v>
      </c>
      <c r="AF14" s="118">
        <f t="shared" si="9"/>
        <v>0.95507248047597293</v>
      </c>
      <c r="AG14" s="615"/>
    </row>
    <row r="15" spans="1:33" ht="16.5" customHeight="1">
      <c r="A15" s="646" t="s">
        <v>8</v>
      </c>
      <c r="B15" s="125" t="s">
        <v>22</v>
      </c>
      <c r="C15" s="640" t="s">
        <v>23</v>
      </c>
      <c r="D15" s="640"/>
      <c r="E15" s="29">
        <v>41</v>
      </c>
      <c r="F15" s="125">
        <v>2001</v>
      </c>
      <c r="G15" s="119">
        <f t="shared" ref="G15:G22" si="15">E15*F15</f>
        <v>82041</v>
      </c>
      <c r="H15" s="33" t="s">
        <v>57</v>
      </c>
      <c r="I15" s="123">
        <v>26</v>
      </c>
      <c r="J15" s="31">
        <v>1500</v>
      </c>
      <c r="K15" s="12">
        <f t="shared" si="1"/>
        <v>57.692307692307693</v>
      </c>
      <c r="L15" s="123">
        <v>26</v>
      </c>
      <c r="M15" s="13">
        <f t="shared" ref="M15:M22" si="16">F15/V15*60</f>
        <v>1446.5060240963855</v>
      </c>
      <c r="N15" s="12">
        <f t="shared" si="3"/>
        <v>55.634847080630216</v>
      </c>
      <c r="O15" s="14">
        <f t="shared" si="4"/>
        <v>0</v>
      </c>
      <c r="P15" s="15">
        <f t="shared" si="5"/>
        <v>-2.0574606116774774</v>
      </c>
      <c r="Q15" s="118">
        <f t="shared" si="6"/>
        <v>0.96433734939759042</v>
      </c>
      <c r="R15" s="615">
        <f>Q23</f>
        <v>0.95995404091184988</v>
      </c>
      <c r="S15" s="34">
        <v>8.3333333333333329E-2</v>
      </c>
      <c r="T15" s="34">
        <v>0.14097222222222222</v>
      </c>
      <c r="U15" s="119"/>
      <c r="V15" s="124">
        <f t="shared" ref="V15:V22" si="17">(T15-S15)*24*60</f>
        <v>83</v>
      </c>
      <c r="W15" s="16">
        <f>T15</f>
        <v>0.14097222222222222</v>
      </c>
      <c r="X15" s="16">
        <f>S16</f>
        <v>0.15972222222222224</v>
      </c>
      <c r="Y15" s="21"/>
      <c r="Z15" s="21"/>
      <c r="AA15" s="617"/>
      <c r="AB15" s="617"/>
      <c r="AC15" s="35">
        <v>8</v>
      </c>
      <c r="AD15" s="18"/>
      <c r="AE15" s="14">
        <f t="shared" si="8"/>
        <v>-53.493975903614455</v>
      </c>
      <c r="AF15" s="118">
        <f t="shared" si="9"/>
        <v>0.96433734939759042</v>
      </c>
      <c r="AG15" s="615">
        <f>AF23</f>
        <v>0.95995404091184999</v>
      </c>
    </row>
    <row r="16" spans="1:33" ht="16.5" customHeight="1">
      <c r="A16" s="647" t="s">
        <v>8</v>
      </c>
      <c r="B16" s="125" t="s">
        <v>22</v>
      </c>
      <c r="C16" s="640" t="s">
        <v>87</v>
      </c>
      <c r="D16" s="640"/>
      <c r="E16" s="29">
        <v>38.619999999999997</v>
      </c>
      <c r="F16" s="125">
        <v>2337</v>
      </c>
      <c r="G16" s="119">
        <f t="shared" si="15"/>
        <v>90254.939999999988</v>
      </c>
      <c r="H16" s="33" t="s">
        <v>57</v>
      </c>
      <c r="I16" s="123">
        <v>24</v>
      </c>
      <c r="J16" s="31">
        <v>1500</v>
      </c>
      <c r="K16" s="12">
        <f t="shared" si="1"/>
        <v>62.5</v>
      </c>
      <c r="L16" s="123">
        <v>24</v>
      </c>
      <c r="M16" s="13">
        <f t="shared" si="16"/>
        <v>1430.8163265306121</v>
      </c>
      <c r="N16" s="12">
        <f t="shared" si="3"/>
        <v>59.617346938775505</v>
      </c>
      <c r="O16" s="14">
        <f t="shared" si="4"/>
        <v>0</v>
      </c>
      <c r="P16" s="15">
        <f t="shared" si="5"/>
        <v>-2.8826530612244952</v>
      </c>
      <c r="Q16" s="118">
        <f t="shared" si="6"/>
        <v>0.95387755102040805</v>
      </c>
      <c r="R16" s="615"/>
      <c r="S16" s="34">
        <v>0.15972222222222224</v>
      </c>
      <c r="T16" s="34">
        <v>0.2277777777777778</v>
      </c>
      <c r="U16" s="119">
        <f t="shared" ref="U16:U22" si="18">IF(S16=TIME(17,0,0),"",(S16-T15)*24*60)</f>
        <v>27.000000000000025</v>
      </c>
      <c r="V16" s="124">
        <f t="shared" si="17"/>
        <v>98.000000000000014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-69.183673469387941</v>
      </c>
      <c r="AF16" s="118">
        <f t="shared" si="9"/>
        <v>0.95387755102040805</v>
      </c>
      <c r="AG16" s="615"/>
    </row>
    <row r="17" spans="1:33" ht="16.5" customHeight="1">
      <c r="A17" s="647" t="s">
        <v>8</v>
      </c>
      <c r="B17" s="125" t="s">
        <v>15</v>
      </c>
      <c r="C17" s="640" t="s">
        <v>86</v>
      </c>
      <c r="D17" s="640"/>
      <c r="E17" s="29">
        <v>37.03</v>
      </c>
      <c r="F17" s="125">
        <v>3847</v>
      </c>
      <c r="G17" s="119">
        <f t="shared" si="15"/>
        <v>142454.41</v>
      </c>
      <c r="H17" s="33" t="s">
        <v>57</v>
      </c>
      <c r="I17" s="123">
        <v>13</v>
      </c>
      <c r="J17" s="31">
        <v>1500</v>
      </c>
      <c r="K17" s="12">
        <f t="shared" si="1"/>
        <v>115.38461538461539</v>
      </c>
      <c r="L17" s="123">
        <v>13</v>
      </c>
      <c r="M17" s="13">
        <f t="shared" si="16"/>
        <v>1433.6645962732921</v>
      </c>
      <c r="N17" s="12">
        <f t="shared" si="3"/>
        <v>110.28189202102247</v>
      </c>
      <c r="O17" s="14">
        <f t="shared" si="4"/>
        <v>0</v>
      </c>
      <c r="P17" s="15">
        <f t="shared" si="5"/>
        <v>-5.102723363592915</v>
      </c>
      <c r="Q17" s="118">
        <f t="shared" si="6"/>
        <v>0.95577639751552812</v>
      </c>
      <c r="R17" s="615"/>
      <c r="S17" s="34">
        <v>0.23263888888888892</v>
      </c>
      <c r="T17" s="34">
        <v>0.34444444444444444</v>
      </c>
      <c r="U17" s="119">
        <f t="shared" si="18"/>
        <v>7.0000000000000151</v>
      </c>
      <c r="V17" s="124">
        <f t="shared" si="17"/>
        <v>160.99999999999997</v>
      </c>
      <c r="W17" s="16"/>
      <c r="X17" s="16"/>
      <c r="Y17" s="16"/>
      <c r="Z17" s="16"/>
      <c r="AA17" s="617"/>
      <c r="AB17" s="617"/>
      <c r="AC17" s="35"/>
      <c r="AD17" s="18"/>
      <c r="AE17" s="14">
        <f t="shared" si="8"/>
        <v>-66.335403726707909</v>
      </c>
      <c r="AF17" s="118">
        <f t="shared" si="9"/>
        <v>0.95577639751552801</v>
      </c>
      <c r="AG17" s="615"/>
    </row>
    <row r="18" spans="1:33" ht="16.5" customHeight="1">
      <c r="A18" s="647" t="s">
        <v>8</v>
      </c>
      <c r="B18" s="125" t="s">
        <v>19</v>
      </c>
      <c r="C18" s="640" t="s">
        <v>267</v>
      </c>
      <c r="D18" s="640"/>
      <c r="E18" s="29">
        <v>39.520000000000003</v>
      </c>
      <c r="F18" s="125">
        <v>5000</v>
      </c>
      <c r="G18" s="119">
        <f t="shared" si="15"/>
        <v>197600.00000000003</v>
      </c>
      <c r="H18" s="33">
        <v>2</v>
      </c>
      <c r="I18" s="123">
        <v>19</v>
      </c>
      <c r="J18" s="31">
        <v>1500</v>
      </c>
      <c r="K18" s="12">
        <f t="shared" si="1"/>
        <v>78.94736842105263</v>
      </c>
      <c r="L18" s="123">
        <v>19</v>
      </c>
      <c r="M18" s="13">
        <f t="shared" si="16"/>
        <v>1428.5714285714282</v>
      </c>
      <c r="N18" s="12">
        <f t="shared" si="3"/>
        <v>75.187969924812009</v>
      </c>
      <c r="O18" s="14">
        <f t="shared" si="4"/>
        <v>0</v>
      </c>
      <c r="P18" s="15">
        <f t="shared" si="5"/>
        <v>-3.7593984962406211</v>
      </c>
      <c r="Q18" s="118">
        <f t="shared" si="6"/>
        <v>0.95238095238095211</v>
      </c>
      <c r="R18" s="615"/>
      <c r="S18" s="34">
        <v>0.35</v>
      </c>
      <c r="T18" s="34">
        <v>0.49583333333333335</v>
      </c>
      <c r="U18" s="119">
        <f t="shared" si="18"/>
        <v>7.9999999999999716</v>
      </c>
      <c r="V18" s="124">
        <f t="shared" si="17"/>
        <v>210.00000000000006</v>
      </c>
      <c r="W18" s="16">
        <f>T18</f>
        <v>0.49583333333333335</v>
      </c>
      <c r="X18" s="16">
        <f>S19</f>
        <v>0.53749999999999998</v>
      </c>
      <c r="Y18" s="16"/>
      <c r="Z18" s="16"/>
      <c r="AA18" s="617"/>
      <c r="AB18" s="617"/>
      <c r="AC18" s="35"/>
      <c r="AD18" s="18"/>
      <c r="AE18" s="14">
        <f t="shared" si="8"/>
        <v>-71.428571428571786</v>
      </c>
      <c r="AF18" s="118">
        <f t="shared" si="9"/>
        <v>0.95238095238095211</v>
      </c>
      <c r="AG18" s="615"/>
    </row>
    <row r="19" spans="1:33" ht="16.5" customHeight="1">
      <c r="A19" s="647" t="s">
        <v>8</v>
      </c>
      <c r="B19" s="125" t="s">
        <v>19</v>
      </c>
      <c r="C19" s="640" t="s">
        <v>267</v>
      </c>
      <c r="D19" s="640"/>
      <c r="E19" s="29">
        <v>39.520000000000003</v>
      </c>
      <c r="F19" s="125">
        <v>4437</v>
      </c>
      <c r="G19" s="119">
        <f t="shared" si="15"/>
        <v>175350.24000000002</v>
      </c>
      <c r="H19" s="33" t="s">
        <v>57</v>
      </c>
      <c r="I19" s="123">
        <v>19</v>
      </c>
      <c r="J19" s="31">
        <v>1500</v>
      </c>
      <c r="K19" s="12">
        <f t="shared" si="1"/>
        <v>78.94736842105263</v>
      </c>
      <c r="L19" s="123">
        <v>19</v>
      </c>
      <c r="M19" s="13">
        <f t="shared" si="16"/>
        <v>1431.2903225806454</v>
      </c>
      <c r="N19" s="12">
        <f t="shared" si="3"/>
        <v>75.331069609507651</v>
      </c>
      <c r="O19" s="14">
        <f t="shared" si="4"/>
        <v>0</v>
      </c>
      <c r="P19" s="15">
        <f t="shared" si="5"/>
        <v>-3.6162988115449792</v>
      </c>
      <c r="Q19" s="118">
        <f t="shared" si="6"/>
        <v>0.95419354838709691</v>
      </c>
      <c r="R19" s="615"/>
      <c r="S19" s="34">
        <v>0.53749999999999998</v>
      </c>
      <c r="T19" s="34">
        <v>0.66666666666666663</v>
      </c>
      <c r="U19" s="119">
        <f t="shared" si="18"/>
        <v>59.999999999999943</v>
      </c>
      <c r="V19" s="124">
        <f t="shared" si="17"/>
        <v>185.99999999999997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-68.709677419354648</v>
      </c>
      <c r="AF19" s="118">
        <f t="shared" si="9"/>
        <v>0.95419354838709691</v>
      </c>
      <c r="AG19" s="615"/>
    </row>
    <row r="20" spans="1:33" ht="16.5" customHeight="1">
      <c r="A20" s="647" t="s">
        <v>8</v>
      </c>
      <c r="B20" s="125" t="s">
        <v>15</v>
      </c>
      <c r="C20" s="121" t="s">
        <v>25</v>
      </c>
      <c r="D20" s="122"/>
      <c r="E20" s="29">
        <v>53.68</v>
      </c>
      <c r="F20" s="125">
        <v>1276</v>
      </c>
      <c r="G20" s="119">
        <f t="shared" si="15"/>
        <v>68495.679999999993</v>
      </c>
      <c r="H20" s="33" t="s">
        <v>57</v>
      </c>
      <c r="I20" s="123">
        <v>16</v>
      </c>
      <c r="J20" s="31">
        <v>1500</v>
      </c>
      <c r="K20" s="12">
        <f t="shared" si="1"/>
        <v>93.75</v>
      </c>
      <c r="L20" s="123">
        <v>16</v>
      </c>
      <c r="M20" s="13">
        <f t="shared" si="16"/>
        <v>1444.5283018867931</v>
      </c>
      <c r="N20" s="12">
        <f t="shared" si="3"/>
        <v>90.283018867924568</v>
      </c>
      <c r="O20" s="14">
        <f t="shared" si="4"/>
        <v>0</v>
      </c>
      <c r="P20" s="15">
        <f t="shared" si="5"/>
        <v>-3.466981132075432</v>
      </c>
      <c r="Q20" s="118">
        <f t="shared" si="6"/>
        <v>0.96301886792452873</v>
      </c>
      <c r="R20" s="615"/>
      <c r="S20" s="34">
        <v>0.70833333333333337</v>
      </c>
      <c r="T20" s="34">
        <v>0.74513888888888891</v>
      </c>
      <c r="U20" s="119" t="str">
        <f t="shared" si="18"/>
        <v/>
      </c>
      <c r="V20" s="124">
        <f t="shared" si="17"/>
        <v>52.999999999999972</v>
      </c>
      <c r="W20" s="16"/>
      <c r="X20" s="16"/>
      <c r="Y20" s="19"/>
      <c r="Z20" s="19"/>
      <c r="AA20" s="114"/>
      <c r="AB20" s="115"/>
      <c r="AC20" s="35"/>
      <c r="AD20" s="18"/>
      <c r="AE20" s="14">
        <f t="shared" si="8"/>
        <v>-55.471698113206912</v>
      </c>
      <c r="AF20" s="118">
        <f t="shared" si="9"/>
        <v>0.96301886792452873</v>
      </c>
      <c r="AG20" s="615"/>
    </row>
    <row r="21" spans="1:33" ht="16.5" customHeight="1">
      <c r="A21" s="647" t="s">
        <v>268</v>
      </c>
      <c r="B21" s="125" t="s">
        <v>15</v>
      </c>
      <c r="C21" s="121" t="s">
        <v>18</v>
      </c>
      <c r="D21" s="122"/>
      <c r="E21" s="29">
        <v>52.86</v>
      </c>
      <c r="F21" s="125">
        <v>1520</v>
      </c>
      <c r="G21" s="119">
        <f t="shared" si="15"/>
        <v>80347.199999999997</v>
      </c>
      <c r="H21" s="33" t="s">
        <v>57</v>
      </c>
      <c r="I21" s="123">
        <v>16</v>
      </c>
      <c r="J21" s="31">
        <v>2000</v>
      </c>
      <c r="K21" s="12">
        <f t="shared" si="1"/>
        <v>125</v>
      </c>
      <c r="L21" s="123">
        <v>16</v>
      </c>
      <c r="M21" s="13">
        <f t="shared" si="16"/>
        <v>1940.4255319148938</v>
      </c>
      <c r="N21" s="12">
        <f t="shared" si="3"/>
        <v>121.27659574468086</v>
      </c>
      <c r="O21" s="14">
        <f t="shared" si="4"/>
        <v>0</v>
      </c>
      <c r="P21" s="15">
        <f t="shared" si="5"/>
        <v>-3.7234042553191387</v>
      </c>
      <c r="Q21" s="118">
        <f t="shared" si="6"/>
        <v>0.97021276595744688</v>
      </c>
      <c r="R21" s="615"/>
      <c r="S21" s="34">
        <v>0.75</v>
      </c>
      <c r="T21" s="34">
        <v>0.78263888888888888</v>
      </c>
      <c r="U21" s="119">
        <f t="shared" si="18"/>
        <v>6.9999999999999751</v>
      </c>
      <c r="V21" s="124">
        <f t="shared" si="17"/>
        <v>46.999999999999993</v>
      </c>
      <c r="W21" s="16"/>
      <c r="X21" s="16"/>
      <c r="Y21" s="19"/>
      <c r="Z21" s="19"/>
      <c r="AA21" s="114"/>
      <c r="AB21" s="115"/>
      <c r="AC21" s="35"/>
      <c r="AD21" s="18"/>
      <c r="AE21" s="14">
        <f t="shared" si="8"/>
        <v>-59.574468085106218</v>
      </c>
      <c r="AF21" s="118">
        <f t="shared" si="9"/>
        <v>0.97021276595744688</v>
      </c>
      <c r="AG21" s="615"/>
    </row>
    <row r="22" spans="1:33" ht="16.5" customHeight="1">
      <c r="A22" s="647" t="s">
        <v>8</v>
      </c>
      <c r="B22" s="125" t="s">
        <v>15</v>
      </c>
      <c r="C22" s="121" t="s">
        <v>16</v>
      </c>
      <c r="D22" s="122"/>
      <c r="E22" s="29">
        <v>50.67</v>
      </c>
      <c r="F22" s="125">
        <v>1603</v>
      </c>
      <c r="G22" s="119">
        <f t="shared" si="15"/>
        <v>81224.010000000009</v>
      </c>
      <c r="H22" s="33" t="s">
        <v>57</v>
      </c>
      <c r="I22" s="123">
        <v>17</v>
      </c>
      <c r="J22" s="31">
        <v>2000</v>
      </c>
      <c r="K22" s="12">
        <f t="shared" si="1"/>
        <v>117.64705882352941</v>
      </c>
      <c r="L22" s="123">
        <v>17</v>
      </c>
      <c r="M22" s="13">
        <f t="shared" si="16"/>
        <v>1923.6000000000006</v>
      </c>
      <c r="N22" s="12">
        <f t="shared" si="3"/>
        <v>113.15294117647062</v>
      </c>
      <c r="O22" s="14">
        <f t="shared" si="4"/>
        <v>0</v>
      </c>
      <c r="P22" s="15">
        <f t="shared" si="5"/>
        <v>-4.4941176470587862</v>
      </c>
      <c r="Q22" s="118">
        <f t="shared" si="6"/>
        <v>0.96180000000000032</v>
      </c>
      <c r="R22" s="615"/>
      <c r="S22" s="34">
        <v>0.78819444444444442</v>
      </c>
      <c r="T22" s="34">
        <v>0.82291666666666663</v>
      </c>
      <c r="U22" s="119">
        <f t="shared" si="18"/>
        <v>7.9999999999999716</v>
      </c>
      <c r="V22" s="124">
        <f t="shared" si="17"/>
        <v>49.999999999999986</v>
      </c>
      <c r="W22" s="16"/>
      <c r="X22" s="16"/>
      <c r="Y22" s="19"/>
      <c r="Z22" s="19"/>
      <c r="AA22" s="114"/>
      <c r="AB22" s="115"/>
      <c r="AC22" s="35"/>
      <c r="AD22" s="18"/>
      <c r="AE22" s="14">
        <f t="shared" si="8"/>
        <v>-76.399999999999409</v>
      </c>
      <c r="AF22" s="118">
        <f t="shared" si="9"/>
        <v>0.96180000000000032</v>
      </c>
      <c r="AG22" s="615"/>
    </row>
    <row r="23" spans="1:33" ht="16.5" customHeight="1">
      <c r="A23" s="647" t="s">
        <v>8</v>
      </c>
      <c r="B23" s="29" t="s">
        <v>6</v>
      </c>
      <c r="C23" s="618"/>
      <c r="D23" s="618"/>
      <c r="E23" s="120"/>
      <c r="F23" s="30"/>
      <c r="G23" s="12"/>
      <c r="H23" s="125"/>
      <c r="I23" s="23">
        <v>18.75</v>
      </c>
      <c r="J23" s="31">
        <v>1625</v>
      </c>
      <c r="K23" s="12">
        <f t="shared" si="1"/>
        <v>86.666666666666671</v>
      </c>
      <c r="L23" s="23">
        <v>18.75</v>
      </c>
      <c r="M23" s="13">
        <f>AVERAGE(M15:M22)</f>
        <v>1559.9253164817562</v>
      </c>
      <c r="N23" s="12">
        <f t="shared" si="3"/>
        <v>83.196016879026999</v>
      </c>
      <c r="O23" s="14">
        <f t="shared" si="4"/>
        <v>0</v>
      </c>
      <c r="P23" s="15">
        <f t="shared" si="5"/>
        <v>-3.4706497876396725</v>
      </c>
      <c r="Q23" s="118">
        <f t="shared" si="6"/>
        <v>0.95995404091184988</v>
      </c>
      <c r="R23" s="615"/>
      <c r="S23" s="34"/>
      <c r="T23" s="34"/>
      <c r="U23" s="119"/>
      <c r="V23" s="124"/>
      <c r="W23" s="12"/>
      <c r="X23" s="12"/>
      <c r="Y23" s="24">
        <f>SUM(Y15:Y22)</f>
        <v>0</v>
      </c>
      <c r="Z23" s="24">
        <f>SUM(Z15:Z22)</f>
        <v>0</v>
      </c>
      <c r="AA23" s="614"/>
      <c r="AB23" s="614"/>
      <c r="AC23" s="24">
        <v>8</v>
      </c>
      <c r="AD23" s="24">
        <f>SUM(AD15:AD22)</f>
        <v>0</v>
      </c>
      <c r="AE23" s="14">
        <f t="shared" si="8"/>
        <v>-65.074683518243774</v>
      </c>
      <c r="AF23" s="118">
        <f t="shared" si="9"/>
        <v>0.95995404091184999</v>
      </c>
      <c r="AG23" s="615"/>
    </row>
    <row r="24" spans="1:33" ht="15.75" customHeight="1">
      <c r="A24" s="642" t="s">
        <v>269</v>
      </c>
      <c r="B24" s="29" t="s">
        <v>15</v>
      </c>
      <c r="C24" s="640" t="s">
        <v>24</v>
      </c>
      <c r="D24" s="640"/>
      <c r="E24" s="29">
        <v>54.09</v>
      </c>
      <c r="F24" s="125">
        <v>1681</v>
      </c>
      <c r="G24" s="119">
        <f t="shared" ref="G24:G30" si="19">E24*F24</f>
        <v>90925.290000000008</v>
      </c>
      <c r="H24" s="33" t="s">
        <v>57</v>
      </c>
      <c r="I24" s="123">
        <v>17</v>
      </c>
      <c r="J24" s="31">
        <v>1500</v>
      </c>
      <c r="K24" s="12">
        <f t="shared" si="1"/>
        <v>88.235294117647058</v>
      </c>
      <c r="L24" s="123">
        <v>17</v>
      </c>
      <c r="M24" s="13">
        <f t="shared" ref="M24:M30" si="20">F24/V24*60</f>
        <v>1440.8571428571422</v>
      </c>
      <c r="N24" s="12">
        <f t="shared" si="3"/>
        <v>84.756302521008365</v>
      </c>
      <c r="O24" s="14">
        <f t="shared" si="4"/>
        <v>0</v>
      </c>
      <c r="P24" s="15">
        <f t="shared" si="5"/>
        <v>-3.4789915966386928</v>
      </c>
      <c r="Q24" s="118">
        <f t="shared" si="6"/>
        <v>0.96057142857142819</v>
      </c>
      <c r="R24" s="615">
        <f>Q31</f>
        <v>0.95973249234058344</v>
      </c>
      <c r="S24" s="34">
        <v>0.20833333333333334</v>
      </c>
      <c r="T24" s="34">
        <v>0.25694444444444448</v>
      </c>
      <c r="U24" s="119"/>
      <c r="V24" s="124">
        <f t="shared" ref="V24:V30" si="21">(T24-S24)*24*60</f>
        <v>70.000000000000028</v>
      </c>
      <c r="W24" s="21"/>
      <c r="X24" s="21"/>
      <c r="Y24" s="21"/>
      <c r="Z24" s="21"/>
      <c r="AA24" s="617"/>
      <c r="AB24" s="617"/>
      <c r="AC24" s="35">
        <v>7</v>
      </c>
      <c r="AD24" s="18"/>
      <c r="AE24" s="14">
        <f t="shared" si="8"/>
        <v>-59.142857142857792</v>
      </c>
      <c r="AF24" s="118">
        <f t="shared" si="9"/>
        <v>0.96057142857142819</v>
      </c>
      <c r="AG24" s="615">
        <f>AF31</f>
        <v>0.95973249234058344</v>
      </c>
    </row>
    <row r="25" spans="1:33" ht="15.75" customHeight="1">
      <c r="A25" s="643" t="s">
        <v>9</v>
      </c>
      <c r="B25" s="29" t="s">
        <v>15</v>
      </c>
      <c r="C25" s="640" t="s">
        <v>28</v>
      </c>
      <c r="D25" s="640"/>
      <c r="E25" s="29">
        <v>50.67</v>
      </c>
      <c r="F25" s="125">
        <v>2166</v>
      </c>
      <c r="G25" s="119">
        <f t="shared" si="19"/>
        <v>109751.22</v>
      </c>
      <c r="H25" s="33" t="s">
        <v>57</v>
      </c>
      <c r="I25" s="123">
        <v>17</v>
      </c>
      <c r="J25" s="31">
        <v>2000</v>
      </c>
      <c r="K25" s="12">
        <f t="shared" si="1"/>
        <v>117.64705882352941</v>
      </c>
      <c r="L25" s="123">
        <v>17</v>
      </c>
      <c r="M25" s="13">
        <f t="shared" si="20"/>
        <v>1911.1764705882351</v>
      </c>
      <c r="N25" s="12">
        <f t="shared" si="3"/>
        <v>112.42214532871971</v>
      </c>
      <c r="O25" s="14">
        <f t="shared" si="4"/>
        <v>0</v>
      </c>
      <c r="P25" s="15">
        <f t="shared" si="5"/>
        <v>-5.224913494809698</v>
      </c>
      <c r="Q25" s="118">
        <f t="shared" si="6"/>
        <v>0.95558823529411752</v>
      </c>
      <c r="R25" s="615"/>
      <c r="S25" s="34">
        <v>0.26250000000000001</v>
      </c>
      <c r="T25" s="34">
        <v>0.30972222222222223</v>
      </c>
      <c r="U25" s="119">
        <f t="shared" ref="U25:U30" si="22">IF(S25=TIME(17,0,0),"",(S25-T24)*24*60)</f>
        <v>7.9999999999999716</v>
      </c>
      <c r="V25" s="124">
        <f t="shared" si="21"/>
        <v>68</v>
      </c>
      <c r="W25" s="16"/>
      <c r="X25" s="119"/>
      <c r="Y25" s="119"/>
      <c r="Z25" s="119"/>
      <c r="AA25" s="617"/>
      <c r="AB25" s="617"/>
      <c r="AC25" s="35"/>
      <c r="AD25" s="18"/>
      <c r="AE25" s="14">
        <f t="shared" si="8"/>
        <v>-88.823529411764866</v>
      </c>
      <c r="AF25" s="118">
        <f t="shared" si="9"/>
        <v>0.95558823529411752</v>
      </c>
      <c r="AG25" s="615"/>
    </row>
    <row r="26" spans="1:33" ht="15.75" customHeight="1">
      <c r="A26" s="643" t="s">
        <v>9</v>
      </c>
      <c r="B26" s="29" t="s">
        <v>15</v>
      </c>
      <c r="C26" s="640" t="s">
        <v>29</v>
      </c>
      <c r="D26" s="640"/>
      <c r="E26" s="29">
        <v>57.73</v>
      </c>
      <c r="F26" s="125">
        <v>2519</v>
      </c>
      <c r="G26" s="119">
        <f t="shared" si="19"/>
        <v>145421.87</v>
      </c>
      <c r="H26" s="33" t="s">
        <v>57</v>
      </c>
      <c r="I26" s="123">
        <v>14</v>
      </c>
      <c r="J26" s="31">
        <v>2000</v>
      </c>
      <c r="K26" s="12">
        <f t="shared" si="1"/>
        <v>142.85714285714286</v>
      </c>
      <c r="L26" s="123">
        <v>14</v>
      </c>
      <c r="M26" s="13">
        <f t="shared" si="20"/>
        <v>1913.1645569620243</v>
      </c>
      <c r="N26" s="12">
        <f t="shared" si="3"/>
        <v>136.65461121157315</v>
      </c>
      <c r="O26" s="14">
        <f t="shared" si="4"/>
        <v>0</v>
      </c>
      <c r="P26" s="15">
        <f t="shared" si="5"/>
        <v>-6.2025316455697066</v>
      </c>
      <c r="Q26" s="118">
        <f t="shared" si="6"/>
        <v>0.95658227848101207</v>
      </c>
      <c r="R26" s="615"/>
      <c r="S26" s="34">
        <v>0.31319444444444444</v>
      </c>
      <c r="T26" s="34">
        <v>0.36805555555555558</v>
      </c>
      <c r="U26" s="119">
        <f t="shared" si="22"/>
        <v>4.9999999999999822</v>
      </c>
      <c r="V26" s="124">
        <f t="shared" si="21"/>
        <v>79.000000000000043</v>
      </c>
      <c r="W26" s="16"/>
      <c r="X26" s="119"/>
      <c r="Y26" s="119"/>
      <c r="Z26" s="119"/>
      <c r="AA26" s="617"/>
      <c r="AB26" s="617"/>
      <c r="AC26" s="35"/>
      <c r="AD26" s="18"/>
      <c r="AE26" s="14">
        <f t="shared" si="8"/>
        <v>-86.835443037975665</v>
      </c>
      <c r="AF26" s="118">
        <f t="shared" si="9"/>
        <v>0.95658227848101218</v>
      </c>
      <c r="AG26" s="615"/>
    </row>
    <row r="27" spans="1:33" ht="15.75" customHeight="1">
      <c r="A27" s="643" t="s">
        <v>9</v>
      </c>
      <c r="B27" s="29" t="s">
        <v>15</v>
      </c>
      <c r="C27" s="640" t="s">
        <v>80</v>
      </c>
      <c r="D27" s="640"/>
      <c r="E27" s="29">
        <v>53.27</v>
      </c>
      <c r="F27" s="125">
        <v>2054</v>
      </c>
      <c r="G27" s="119">
        <f t="shared" si="19"/>
        <v>109416.58</v>
      </c>
      <c r="H27" s="33" t="s">
        <v>57</v>
      </c>
      <c r="I27" s="123">
        <v>16</v>
      </c>
      <c r="J27" s="31">
        <v>2000</v>
      </c>
      <c r="K27" s="12">
        <f t="shared" si="1"/>
        <v>125</v>
      </c>
      <c r="L27" s="123">
        <v>16</v>
      </c>
      <c r="M27" s="13">
        <f t="shared" si="20"/>
        <v>1925.6249999999995</v>
      </c>
      <c r="N27" s="12">
        <f t="shared" si="3"/>
        <v>120.35156249999997</v>
      </c>
      <c r="O27" s="14">
        <f t="shared" si="4"/>
        <v>0</v>
      </c>
      <c r="P27" s="15">
        <f t="shared" si="5"/>
        <v>-4.6484375000000284</v>
      </c>
      <c r="Q27" s="118">
        <f t="shared" si="6"/>
        <v>0.96281249999999974</v>
      </c>
      <c r="R27" s="615"/>
      <c r="S27" s="34">
        <v>0.37361111111111112</v>
      </c>
      <c r="T27" s="34">
        <v>0.41805555555555557</v>
      </c>
      <c r="U27" s="119">
        <f t="shared" si="22"/>
        <v>7.9999999999999716</v>
      </c>
      <c r="V27" s="124">
        <f t="shared" si="21"/>
        <v>64.000000000000014</v>
      </c>
      <c r="W27" s="16"/>
      <c r="X27" s="119"/>
      <c r="Y27" s="119"/>
      <c r="Z27" s="119"/>
      <c r="AA27" s="617"/>
      <c r="AB27" s="617"/>
      <c r="AC27" s="35"/>
      <c r="AD27" s="18"/>
      <c r="AE27" s="14">
        <f t="shared" si="8"/>
        <v>-74.375000000000455</v>
      </c>
      <c r="AF27" s="118">
        <f t="shared" si="9"/>
        <v>0.96281249999999974</v>
      </c>
      <c r="AG27" s="615"/>
    </row>
    <row r="28" spans="1:33" ht="15.75" customHeight="1">
      <c r="A28" s="643" t="s">
        <v>270</v>
      </c>
      <c r="B28" s="29" t="s">
        <v>15</v>
      </c>
      <c r="C28" s="640" t="s">
        <v>30</v>
      </c>
      <c r="D28" s="640"/>
      <c r="E28" s="29">
        <v>50.49</v>
      </c>
      <c r="F28" s="125">
        <v>2012</v>
      </c>
      <c r="G28" s="119">
        <f t="shared" si="19"/>
        <v>101585.88</v>
      </c>
      <c r="H28" s="33" t="s">
        <v>57</v>
      </c>
      <c r="I28" s="123">
        <v>15</v>
      </c>
      <c r="J28" s="31">
        <v>2000</v>
      </c>
      <c r="K28" s="12">
        <f t="shared" si="1"/>
        <v>133.33333333333334</v>
      </c>
      <c r="L28" s="123">
        <v>15</v>
      </c>
      <c r="M28" s="13">
        <f t="shared" si="20"/>
        <v>1916.1904761904782</v>
      </c>
      <c r="N28" s="12">
        <f t="shared" si="3"/>
        <v>127.74603174603187</v>
      </c>
      <c r="O28" s="14">
        <f t="shared" si="4"/>
        <v>0</v>
      </c>
      <c r="P28" s="15">
        <f t="shared" si="5"/>
        <v>-5.587301587301468</v>
      </c>
      <c r="Q28" s="118">
        <f t="shared" si="6"/>
        <v>0.958095238095239</v>
      </c>
      <c r="R28" s="615"/>
      <c r="S28" s="34">
        <v>0.70833333333333337</v>
      </c>
      <c r="T28" s="34">
        <v>0.75208333333333333</v>
      </c>
      <c r="U28" s="119" t="str">
        <f t="shared" si="22"/>
        <v/>
      </c>
      <c r="V28" s="124">
        <f t="shared" si="21"/>
        <v>62.999999999999936</v>
      </c>
      <c r="W28" s="16"/>
      <c r="X28" s="16"/>
      <c r="Y28" s="119"/>
      <c r="Z28" s="119"/>
      <c r="AA28" s="617"/>
      <c r="AB28" s="617"/>
      <c r="AC28" s="35"/>
      <c r="AD28" s="18"/>
      <c r="AE28" s="14">
        <f t="shared" si="8"/>
        <v>-83.809523809521806</v>
      </c>
      <c r="AF28" s="118">
        <f t="shared" si="9"/>
        <v>0.95809523809523911</v>
      </c>
      <c r="AG28" s="615"/>
    </row>
    <row r="29" spans="1:33" ht="15.75" customHeight="1">
      <c r="A29" s="643" t="s">
        <v>269</v>
      </c>
      <c r="B29" s="29" t="s">
        <v>15</v>
      </c>
      <c r="C29" s="640" t="s">
        <v>85</v>
      </c>
      <c r="D29" s="640"/>
      <c r="E29" s="29">
        <v>56.43</v>
      </c>
      <c r="F29" s="125">
        <v>2545</v>
      </c>
      <c r="G29" s="119">
        <f t="shared" si="19"/>
        <v>143614.35</v>
      </c>
      <c r="H29" s="33" t="s">
        <v>57</v>
      </c>
      <c r="I29" s="123">
        <v>13</v>
      </c>
      <c r="J29" s="31">
        <v>2000</v>
      </c>
      <c r="K29" s="12">
        <f t="shared" si="1"/>
        <v>153.84615384615384</v>
      </c>
      <c r="L29" s="123">
        <v>13</v>
      </c>
      <c r="M29" s="13">
        <f t="shared" si="20"/>
        <v>1908.7499999999993</v>
      </c>
      <c r="N29" s="12">
        <f t="shared" si="3"/>
        <v>146.82692307692304</v>
      </c>
      <c r="O29" s="14">
        <f t="shared" si="4"/>
        <v>0</v>
      </c>
      <c r="P29" s="15">
        <f t="shared" si="5"/>
        <v>-7.019230769230802</v>
      </c>
      <c r="Q29" s="118">
        <f t="shared" si="6"/>
        <v>0.95437499999999975</v>
      </c>
      <c r="R29" s="615"/>
      <c r="S29" s="34">
        <v>0.75763888888888886</v>
      </c>
      <c r="T29" s="34">
        <v>0.81319444444444444</v>
      </c>
      <c r="U29" s="119">
        <f t="shared" si="22"/>
        <v>7.9999999999999716</v>
      </c>
      <c r="V29" s="124">
        <f t="shared" si="21"/>
        <v>80.000000000000028</v>
      </c>
      <c r="W29" s="16"/>
      <c r="X29" s="21"/>
      <c r="Y29" s="21"/>
      <c r="Z29" s="21"/>
      <c r="AA29" s="617"/>
      <c r="AB29" s="617"/>
      <c r="AC29" s="35"/>
      <c r="AD29" s="18"/>
      <c r="AE29" s="14">
        <f t="shared" si="8"/>
        <v>-91.250000000000682</v>
      </c>
      <c r="AF29" s="118">
        <f t="shared" si="9"/>
        <v>0.95437499999999964</v>
      </c>
      <c r="AG29" s="615"/>
    </row>
    <row r="30" spans="1:33" ht="15.75" customHeight="1">
      <c r="A30" s="643" t="s">
        <v>9</v>
      </c>
      <c r="B30" s="29" t="s">
        <v>15</v>
      </c>
      <c r="C30" s="666" t="s">
        <v>31</v>
      </c>
      <c r="D30" s="667"/>
      <c r="E30" s="29">
        <v>50.98</v>
      </c>
      <c r="F30" s="125">
        <v>1035</v>
      </c>
      <c r="G30" s="119">
        <f t="shared" si="19"/>
        <v>52764.299999999996</v>
      </c>
      <c r="H30" s="33" t="s">
        <v>57</v>
      </c>
      <c r="I30" s="123">
        <v>16</v>
      </c>
      <c r="J30" s="31">
        <v>2000</v>
      </c>
      <c r="K30" s="12">
        <f t="shared" si="1"/>
        <v>125</v>
      </c>
      <c r="L30" s="123">
        <v>16</v>
      </c>
      <c r="M30" s="13">
        <f t="shared" si="20"/>
        <v>1940.6249999999975</v>
      </c>
      <c r="N30" s="12">
        <f t="shared" si="3"/>
        <v>121.28906249999984</v>
      </c>
      <c r="O30" s="14">
        <f t="shared" si="4"/>
        <v>0</v>
      </c>
      <c r="P30" s="15">
        <f t="shared" si="5"/>
        <v>-3.7109375000001563</v>
      </c>
      <c r="Q30" s="118">
        <f t="shared" si="6"/>
        <v>0.9703124999999988</v>
      </c>
      <c r="R30" s="615"/>
      <c r="S30" s="34">
        <v>0.81736111111111109</v>
      </c>
      <c r="T30" s="34">
        <v>0.83958333333333335</v>
      </c>
      <c r="U30" s="119">
        <f t="shared" si="22"/>
        <v>5.9999999999999787</v>
      </c>
      <c r="V30" s="124">
        <f t="shared" si="21"/>
        <v>32.000000000000043</v>
      </c>
      <c r="W30" s="16"/>
      <c r="X30" s="21"/>
      <c r="Y30" s="22"/>
      <c r="Z30" s="22"/>
      <c r="AA30" s="624"/>
      <c r="AB30" s="625"/>
      <c r="AC30" s="35"/>
      <c r="AD30" s="18"/>
      <c r="AE30" s="14">
        <f t="shared" si="8"/>
        <v>-59.375000000002501</v>
      </c>
      <c r="AF30" s="118">
        <f t="shared" si="9"/>
        <v>0.9703124999999988</v>
      </c>
      <c r="AG30" s="615"/>
    </row>
    <row r="31" spans="1:33" ht="15.75" customHeight="1">
      <c r="A31" s="643" t="s">
        <v>9</v>
      </c>
      <c r="B31" s="29" t="s">
        <v>271</v>
      </c>
      <c r="C31" s="618"/>
      <c r="D31" s="618"/>
      <c r="E31" s="120"/>
      <c r="F31" s="125"/>
      <c r="G31" s="119"/>
      <c r="H31" s="125"/>
      <c r="I31" s="23">
        <v>15.428571428571429</v>
      </c>
      <c r="J31" s="31">
        <v>1928.5714285714287</v>
      </c>
      <c r="K31" s="12">
        <f t="shared" si="1"/>
        <v>125</v>
      </c>
      <c r="L31" s="23">
        <v>15.428571428571429</v>
      </c>
      <c r="M31" s="13">
        <f>AVERAGE(M24:M30)</f>
        <v>1850.9126637996967</v>
      </c>
      <c r="N31" s="12">
        <f t="shared" si="3"/>
        <v>119.96656154257293</v>
      </c>
      <c r="O31" s="14">
        <f t="shared" si="4"/>
        <v>0</v>
      </c>
      <c r="P31" s="15">
        <f t="shared" si="5"/>
        <v>-5.0334384574270672</v>
      </c>
      <c r="Q31" s="118">
        <f t="shared" si="6"/>
        <v>0.95973249234058344</v>
      </c>
      <c r="R31" s="615"/>
      <c r="S31" s="34"/>
      <c r="T31" s="34"/>
      <c r="U31" s="12"/>
      <c r="V31" s="124"/>
      <c r="W31" s="12"/>
      <c r="X31" s="12"/>
      <c r="Y31" s="24">
        <f>SUM(Y24:Y30)</f>
        <v>0</v>
      </c>
      <c r="Z31" s="24">
        <f>SUM(Z24:Z30)</f>
        <v>0</v>
      </c>
      <c r="AA31" s="614"/>
      <c r="AB31" s="614"/>
      <c r="AC31" s="24">
        <v>7</v>
      </c>
      <c r="AD31" s="24">
        <f>SUM(AD24:AD30)</f>
        <v>0</v>
      </c>
      <c r="AE31" s="14">
        <f t="shared" si="8"/>
        <v>-77.658764771731967</v>
      </c>
      <c r="AF31" s="118">
        <f t="shared" si="9"/>
        <v>0.95973249234058344</v>
      </c>
      <c r="AG31" s="615"/>
    </row>
    <row r="32" spans="1:33" ht="15.75" customHeight="1">
      <c r="A32" s="641" t="s">
        <v>10</v>
      </c>
      <c r="B32" s="29" t="s">
        <v>32</v>
      </c>
      <c r="C32" s="640" t="s">
        <v>33</v>
      </c>
      <c r="D32" s="640"/>
      <c r="E32" s="29">
        <v>31.29</v>
      </c>
      <c r="F32" s="125">
        <v>6700</v>
      </c>
      <c r="G32" s="119">
        <f t="shared" ref="G32:G38" si="23">E32*F32</f>
        <v>209643</v>
      </c>
      <c r="H32" s="33">
        <v>2</v>
      </c>
      <c r="I32" s="123">
        <v>18</v>
      </c>
      <c r="J32" s="31">
        <v>2400</v>
      </c>
      <c r="K32" s="12">
        <f t="shared" si="1"/>
        <v>133.33333333333334</v>
      </c>
      <c r="L32" s="123">
        <v>18</v>
      </c>
      <c r="M32" s="13">
        <f t="shared" ref="M32:M38" si="24">F32/V32*60</f>
        <v>2297.1428571428569</v>
      </c>
      <c r="N32" s="12">
        <f t="shared" si="3"/>
        <v>127.61904761904761</v>
      </c>
      <c r="O32" s="14">
        <f t="shared" si="4"/>
        <v>0</v>
      </c>
      <c r="P32" s="15">
        <f t="shared" si="5"/>
        <v>-5.7142857142857366</v>
      </c>
      <c r="Q32" s="118">
        <f t="shared" si="6"/>
        <v>0.95714285714285696</v>
      </c>
      <c r="R32" s="615">
        <f>Q39</f>
        <v>0.95550312918150848</v>
      </c>
      <c r="S32" s="34">
        <v>8.3333333333333329E-2</v>
      </c>
      <c r="T32" s="34">
        <v>0.2048611111111111</v>
      </c>
      <c r="U32" s="119"/>
      <c r="V32" s="124">
        <f t="shared" ref="V32:V38" si="25">(T32-S32)*24*60</f>
        <v>175</v>
      </c>
      <c r="W32" s="16">
        <f>T32</f>
        <v>0.2048611111111111</v>
      </c>
      <c r="X32" s="16">
        <f>S33</f>
        <v>0.22361111111111109</v>
      </c>
      <c r="Y32" s="16"/>
      <c r="Z32" s="16"/>
      <c r="AA32" s="617"/>
      <c r="AB32" s="617"/>
      <c r="AC32" s="35">
        <v>7</v>
      </c>
      <c r="AD32" s="18"/>
      <c r="AE32" s="14">
        <f t="shared" si="8"/>
        <v>-102.85714285714312</v>
      </c>
      <c r="AF32" s="118">
        <f t="shared" si="9"/>
        <v>0.95714285714285707</v>
      </c>
      <c r="AG32" s="615">
        <f>AF39</f>
        <v>0.95550312918150859</v>
      </c>
    </row>
    <row r="33" spans="1:33" ht="15.75" customHeight="1">
      <c r="A33" s="641" t="s">
        <v>10</v>
      </c>
      <c r="B33" s="29" t="s">
        <v>32</v>
      </c>
      <c r="C33" s="640" t="s">
        <v>34</v>
      </c>
      <c r="D33" s="640"/>
      <c r="E33" s="29">
        <v>26.37</v>
      </c>
      <c r="F33" s="125">
        <v>4200</v>
      </c>
      <c r="G33" s="119">
        <f t="shared" si="23"/>
        <v>110754</v>
      </c>
      <c r="H33" s="33">
        <v>2</v>
      </c>
      <c r="I33" s="123">
        <v>18</v>
      </c>
      <c r="J33" s="31">
        <v>2400</v>
      </c>
      <c r="K33" s="12">
        <f t="shared" si="1"/>
        <v>133.33333333333334</v>
      </c>
      <c r="L33" s="123">
        <v>18</v>
      </c>
      <c r="M33" s="13">
        <f t="shared" si="24"/>
        <v>2290.909090909091</v>
      </c>
      <c r="N33" s="12">
        <f t="shared" si="3"/>
        <v>127.27272727272728</v>
      </c>
      <c r="O33" s="14">
        <f t="shared" si="4"/>
        <v>0</v>
      </c>
      <c r="P33" s="15">
        <f t="shared" si="5"/>
        <v>-6.0606060606060623</v>
      </c>
      <c r="Q33" s="118">
        <f t="shared" si="6"/>
        <v>0.95454545454545459</v>
      </c>
      <c r="R33" s="615"/>
      <c r="S33" s="34">
        <v>0.22361111111111109</v>
      </c>
      <c r="T33" s="34">
        <v>0.3</v>
      </c>
      <c r="U33" s="119">
        <f t="shared" ref="U33:U38" si="26">(S33-T32)*24*60</f>
        <v>26.999999999999986</v>
      </c>
      <c r="V33" s="124">
        <f t="shared" si="25"/>
        <v>110.00000000000001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-109.09090909090901</v>
      </c>
      <c r="AF33" s="118">
        <f t="shared" si="9"/>
        <v>0.95454545454545459</v>
      </c>
      <c r="AG33" s="615"/>
    </row>
    <row r="34" spans="1:33" ht="15.75" customHeight="1">
      <c r="A34" s="641" t="s">
        <v>10</v>
      </c>
      <c r="B34" s="29" t="s">
        <v>32</v>
      </c>
      <c r="C34" s="640" t="s">
        <v>76</v>
      </c>
      <c r="D34" s="640"/>
      <c r="E34" s="29">
        <v>26.18</v>
      </c>
      <c r="F34" s="125">
        <v>5200</v>
      </c>
      <c r="G34" s="119">
        <f t="shared" si="23"/>
        <v>136136</v>
      </c>
      <c r="H34" s="33">
        <v>2</v>
      </c>
      <c r="I34" s="123">
        <v>18</v>
      </c>
      <c r="J34" s="31">
        <v>2400</v>
      </c>
      <c r="K34" s="12">
        <f t="shared" si="1"/>
        <v>133.33333333333334</v>
      </c>
      <c r="L34" s="123">
        <v>18</v>
      </c>
      <c r="M34" s="13">
        <f t="shared" si="24"/>
        <v>2294.1176470588234</v>
      </c>
      <c r="N34" s="12">
        <f t="shared" si="3"/>
        <v>127.45098039215685</v>
      </c>
      <c r="O34" s="14">
        <f t="shared" si="4"/>
        <v>0</v>
      </c>
      <c r="P34" s="15">
        <f t="shared" si="5"/>
        <v>-5.8823529411764923</v>
      </c>
      <c r="Q34" s="118">
        <f t="shared" si="6"/>
        <v>0.95588235294117629</v>
      </c>
      <c r="R34" s="615"/>
      <c r="S34" s="34">
        <v>0.30416666666666664</v>
      </c>
      <c r="T34" s="34">
        <v>0.39861111111111108</v>
      </c>
      <c r="U34" s="119">
        <f t="shared" si="26"/>
        <v>5.9999999999999787</v>
      </c>
      <c r="V34" s="124">
        <f t="shared" si="25"/>
        <v>136</v>
      </c>
      <c r="W34" s="16"/>
      <c r="X34" s="16"/>
      <c r="Y34" s="16"/>
      <c r="Z34" s="16"/>
      <c r="AA34" s="617"/>
      <c r="AB34" s="617"/>
      <c r="AC34" s="35"/>
      <c r="AD34" s="18"/>
      <c r="AE34" s="14">
        <f t="shared" si="8"/>
        <v>-105.88235294117658</v>
      </c>
      <c r="AF34" s="118">
        <f t="shared" si="9"/>
        <v>0.95588235294117641</v>
      </c>
      <c r="AG34" s="615"/>
    </row>
    <row r="35" spans="1:33" ht="15.75" customHeight="1">
      <c r="A35" s="641" t="s">
        <v>10</v>
      </c>
      <c r="B35" s="29" t="s">
        <v>32</v>
      </c>
      <c r="C35" s="640" t="s">
        <v>35</v>
      </c>
      <c r="D35" s="640"/>
      <c r="E35" s="29">
        <v>25.99</v>
      </c>
      <c r="F35" s="125">
        <v>4618</v>
      </c>
      <c r="G35" s="119">
        <f t="shared" si="23"/>
        <v>120021.81999999999</v>
      </c>
      <c r="H35" s="33" t="s">
        <v>57</v>
      </c>
      <c r="I35" s="123">
        <v>14</v>
      </c>
      <c r="J35" s="31">
        <v>2400</v>
      </c>
      <c r="K35" s="12">
        <f t="shared" si="1"/>
        <v>171.42857142857142</v>
      </c>
      <c r="L35" s="123">
        <v>14</v>
      </c>
      <c r="M35" s="13">
        <f t="shared" si="24"/>
        <v>2289.9173553719015</v>
      </c>
      <c r="N35" s="12">
        <f t="shared" si="3"/>
        <v>163.56552538370724</v>
      </c>
      <c r="O35" s="14">
        <f t="shared" si="4"/>
        <v>0</v>
      </c>
      <c r="P35" s="15">
        <f t="shared" si="5"/>
        <v>-7.863046044864177</v>
      </c>
      <c r="Q35" s="118">
        <f t="shared" si="6"/>
        <v>0.95413223140495895</v>
      </c>
      <c r="R35" s="615"/>
      <c r="S35" s="34">
        <v>0.40347222222222218</v>
      </c>
      <c r="T35" s="34">
        <v>0.48749999999999993</v>
      </c>
      <c r="U35" s="119">
        <f t="shared" si="26"/>
        <v>6.9999999999999751</v>
      </c>
      <c r="V35" s="124">
        <f t="shared" si="25"/>
        <v>120.99999999999997</v>
      </c>
      <c r="W35" s="16">
        <f>T35</f>
        <v>0.48749999999999993</v>
      </c>
      <c r="X35" s="16">
        <f>S36</f>
        <v>0.52847222222222212</v>
      </c>
      <c r="Y35" s="16"/>
      <c r="Z35" s="16"/>
      <c r="AA35" s="617"/>
      <c r="AB35" s="617"/>
      <c r="AC35" s="35"/>
      <c r="AD35" s="18"/>
      <c r="AE35" s="14">
        <f t="shared" si="8"/>
        <v>-110.08264462809848</v>
      </c>
      <c r="AF35" s="118">
        <f t="shared" si="9"/>
        <v>0.95413223140495895</v>
      </c>
      <c r="AG35" s="615"/>
    </row>
    <row r="36" spans="1:33" ht="15.75" customHeight="1">
      <c r="A36" s="641" t="s">
        <v>10</v>
      </c>
      <c r="B36" s="29" t="s">
        <v>32</v>
      </c>
      <c r="C36" s="640" t="s">
        <v>33</v>
      </c>
      <c r="D36" s="640"/>
      <c r="E36" s="29">
        <v>31.29</v>
      </c>
      <c r="F36" s="125">
        <v>4711</v>
      </c>
      <c r="G36" s="119">
        <f t="shared" si="23"/>
        <v>147407.19</v>
      </c>
      <c r="H36" s="33" t="s">
        <v>57</v>
      </c>
      <c r="I36" s="123">
        <v>18</v>
      </c>
      <c r="J36" s="31">
        <v>2400</v>
      </c>
      <c r="K36" s="12">
        <f t="shared" si="1"/>
        <v>133.33333333333334</v>
      </c>
      <c r="L36" s="123">
        <v>18</v>
      </c>
      <c r="M36" s="13">
        <f t="shared" si="24"/>
        <v>2298.0487804878044</v>
      </c>
      <c r="N36" s="12">
        <f t="shared" si="3"/>
        <v>127.66937669376691</v>
      </c>
      <c r="O36" s="14">
        <f t="shared" si="4"/>
        <v>0</v>
      </c>
      <c r="P36" s="15">
        <f t="shared" si="5"/>
        <v>-5.663956639566436</v>
      </c>
      <c r="Q36" s="118">
        <f t="shared" si="6"/>
        <v>0.9575203252032517</v>
      </c>
      <c r="R36" s="615"/>
      <c r="S36" s="34">
        <v>0.52847222222222212</v>
      </c>
      <c r="T36" s="34">
        <v>0.61388888888888882</v>
      </c>
      <c r="U36" s="119">
        <f t="shared" si="26"/>
        <v>58.99999999999995</v>
      </c>
      <c r="V36" s="124">
        <f t="shared" si="25"/>
        <v>123.00000000000004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-101.95121951219562</v>
      </c>
      <c r="AF36" s="118">
        <f t="shared" si="9"/>
        <v>0.95752032520325181</v>
      </c>
      <c r="AG36" s="615"/>
    </row>
    <row r="37" spans="1:33" ht="15.75" customHeight="1">
      <c r="A37" s="641" t="s">
        <v>272</v>
      </c>
      <c r="B37" s="29" t="s">
        <v>32</v>
      </c>
      <c r="C37" s="640" t="s">
        <v>76</v>
      </c>
      <c r="D37" s="640"/>
      <c r="E37" s="29">
        <v>26.18</v>
      </c>
      <c r="F37" s="125">
        <v>3770</v>
      </c>
      <c r="G37" s="119">
        <f t="shared" si="23"/>
        <v>98698.6</v>
      </c>
      <c r="H37" s="33" t="s">
        <v>57</v>
      </c>
      <c r="I37" s="123">
        <v>18</v>
      </c>
      <c r="J37" s="31">
        <v>2400</v>
      </c>
      <c r="K37" s="12">
        <f t="shared" si="1"/>
        <v>133.33333333333334</v>
      </c>
      <c r="L37" s="123">
        <v>18</v>
      </c>
      <c r="M37" s="13">
        <f t="shared" si="24"/>
        <v>2284.8484848484854</v>
      </c>
      <c r="N37" s="12">
        <f t="shared" si="3"/>
        <v>126.93602693602696</v>
      </c>
      <c r="O37" s="14">
        <f t="shared" si="4"/>
        <v>0</v>
      </c>
      <c r="P37" s="15">
        <f t="shared" si="5"/>
        <v>-6.3973063973063802</v>
      </c>
      <c r="Q37" s="118">
        <f t="shared" si="6"/>
        <v>0.9520202020202021</v>
      </c>
      <c r="R37" s="615"/>
      <c r="S37" s="34">
        <v>0.61874999999999991</v>
      </c>
      <c r="T37" s="34">
        <v>0.68749999999999989</v>
      </c>
      <c r="U37" s="119">
        <f t="shared" si="26"/>
        <v>6.9999999999999751</v>
      </c>
      <c r="V37" s="124">
        <f t="shared" si="25"/>
        <v>98.999999999999972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-115.15151515151456</v>
      </c>
      <c r="AF37" s="118">
        <f t="shared" si="9"/>
        <v>0.95202020202020232</v>
      </c>
      <c r="AG37" s="615"/>
    </row>
    <row r="38" spans="1:33" ht="15.75" customHeight="1">
      <c r="A38" s="641" t="s">
        <v>273</v>
      </c>
      <c r="B38" s="29" t="s">
        <v>32</v>
      </c>
      <c r="C38" s="640" t="s">
        <v>34</v>
      </c>
      <c r="D38" s="640"/>
      <c r="E38" s="29">
        <v>26.37</v>
      </c>
      <c r="F38" s="125">
        <v>3025</v>
      </c>
      <c r="G38" s="119">
        <f t="shared" si="23"/>
        <v>79769.25</v>
      </c>
      <c r="H38" s="33" t="s">
        <v>57</v>
      </c>
      <c r="I38" s="123">
        <v>18</v>
      </c>
      <c r="J38" s="31">
        <v>2400</v>
      </c>
      <c r="K38" s="12">
        <f t="shared" si="1"/>
        <v>133.33333333333334</v>
      </c>
      <c r="L38" s="123">
        <v>18</v>
      </c>
      <c r="M38" s="13">
        <f t="shared" si="24"/>
        <v>2297.4683544303789</v>
      </c>
      <c r="N38" s="12">
        <f t="shared" si="3"/>
        <v>127.63713080168772</v>
      </c>
      <c r="O38" s="14">
        <f t="shared" si="4"/>
        <v>0</v>
      </c>
      <c r="P38" s="15">
        <f t="shared" si="5"/>
        <v>-5.6962025316456248</v>
      </c>
      <c r="Q38" s="118">
        <f t="shared" si="6"/>
        <v>0.95727848101265778</v>
      </c>
      <c r="R38" s="615"/>
      <c r="S38" s="34">
        <v>0.6909722222222221</v>
      </c>
      <c r="T38" s="34">
        <v>0.74583333333333324</v>
      </c>
      <c r="U38" s="119">
        <f t="shared" si="26"/>
        <v>4.9999999999999822</v>
      </c>
      <c r="V38" s="124">
        <f t="shared" si="25"/>
        <v>79.000000000000043</v>
      </c>
      <c r="W38" s="16"/>
      <c r="X38" s="16"/>
      <c r="Y38" s="16"/>
      <c r="Z38" s="16"/>
      <c r="AA38" s="617"/>
      <c r="AB38" s="617"/>
      <c r="AC38" s="35"/>
      <c r="AD38" s="18"/>
      <c r="AE38" s="14">
        <f t="shared" si="8"/>
        <v>-102.53164556962111</v>
      </c>
      <c r="AF38" s="118">
        <f t="shared" si="9"/>
        <v>0.95727848101265789</v>
      </c>
      <c r="AG38" s="615"/>
    </row>
    <row r="39" spans="1:33" ht="15.75" customHeight="1">
      <c r="A39" s="641" t="s">
        <v>10</v>
      </c>
      <c r="B39" s="29" t="s">
        <v>274</v>
      </c>
      <c r="C39" s="618"/>
      <c r="D39" s="618"/>
      <c r="E39" s="120"/>
      <c r="F39" s="125"/>
      <c r="G39" s="119"/>
      <c r="H39" s="125"/>
      <c r="I39" s="23">
        <v>17.428571428571427</v>
      </c>
      <c r="J39" s="31">
        <v>2400</v>
      </c>
      <c r="K39" s="12">
        <f t="shared" si="1"/>
        <v>137.70491803278691</v>
      </c>
      <c r="L39" s="23">
        <v>17.428571428571427</v>
      </c>
      <c r="M39" s="13">
        <f>AVERAGE(M32:M38)</f>
        <v>2293.2075100356205</v>
      </c>
      <c r="N39" s="12">
        <f t="shared" si="3"/>
        <v>131.57748008401103</v>
      </c>
      <c r="O39" s="14">
        <f t="shared" si="4"/>
        <v>0</v>
      </c>
      <c r="P39" s="15">
        <f t="shared" si="5"/>
        <v>-6.1274379487758779</v>
      </c>
      <c r="Q39" s="118">
        <f t="shared" si="6"/>
        <v>0.95550312918150848</v>
      </c>
      <c r="R39" s="615"/>
      <c r="S39" s="34"/>
      <c r="T39" s="34"/>
      <c r="U39" s="119"/>
      <c r="V39" s="124"/>
      <c r="W39" s="119"/>
      <c r="X39" s="119"/>
      <c r="Y39" s="24">
        <f>SUM(Y32:Y38)</f>
        <v>0</v>
      </c>
      <c r="Z39" s="24">
        <f>SUM(Z32:Z38)</f>
        <v>0</v>
      </c>
      <c r="AA39" s="614"/>
      <c r="AB39" s="614"/>
      <c r="AC39" s="24">
        <v>7</v>
      </c>
      <c r="AD39" s="24">
        <f>SUM(AD32:AD38)</f>
        <v>0</v>
      </c>
      <c r="AE39" s="14">
        <f t="shared" si="8"/>
        <v>-106.79248996437946</v>
      </c>
      <c r="AF39" s="118">
        <f t="shared" si="9"/>
        <v>0.95550312918150859</v>
      </c>
      <c r="AG39" s="615"/>
    </row>
    <row r="40" spans="1:33" ht="15.75" customHeight="1">
      <c r="A40" s="638" t="s">
        <v>11</v>
      </c>
      <c r="B40" s="29" t="s">
        <v>32</v>
      </c>
      <c r="C40" s="616" t="s">
        <v>77</v>
      </c>
      <c r="D40" s="616"/>
      <c r="E40" s="29">
        <v>26.18</v>
      </c>
      <c r="F40" s="125">
        <v>3900</v>
      </c>
      <c r="G40" s="119">
        <f t="shared" ref="G40:G47" si="27">E40*F40</f>
        <v>102102</v>
      </c>
      <c r="H40" s="33">
        <v>2</v>
      </c>
      <c r="I40" s="123">
        <v>20</v>
      </c>
      <c r="J40" s="31">
        <v>2400</v>
      </c>
      <c r="K40" s="12">
        <f t="shared" si="1"/>
        <v>120</v>
      </c>
      <c r="L40" s="123">
        <v>20</v>
      </c>
      <c r="M40" s="13">
        <f t="shared" ref="M40:M47" si="28">F40/V40*60</f>
        <v>2294.117647058823</v>
      </c>
      <c r="N40" s="12">
        <f t="shared" si="3"/>
        <v>114.70588235294115</v>
      </c>
      <c r="O40" s="14">
        <f t="shared" si="4"/>
        <v>0</v>
      </c>
      <c r="P40" s="15">
        <f t="shared" si="5"/>
        <v>-5.2941176470588545</v>
      </c>
      <c r="Q40" s="118">
        <f t="shared" si="6"/>
        <v>0.95588235294117618</v>
      </c>
      <c r="R40" s="615">
        <f>Q48</f>
        <v>0.95425064091066492</v>
      </c>
      <c r="S40" s="34">
        <v>8.3333333333333329E-2</v>
      </c>
      <c r="T40" s="34">
        <v>0.15416666666666667</v>
      </c>
      <c r="U40" s="119"/>
      <c r="V40" s="124">
        <f t="shared" ref="V40:V47" si="29">(T40-S40)*24*60</f>
        <v>102.00000000000001</v>
      </c>
      <c r="W40" s="21">
        <f>T40</f>
        <v>0.15416666666666667</v>
      </c>
      <c r="X40" s="21">
        <f>S41</f>
        <v>0.17430555555555557</v>
      </c>
      <c r="Y40" s="21"/>
      <c r="Z40" s="21"/>
      <c r="AA40" s="617"/>
      <c r="AB40" s="617"/>
      <c r="AC40" s="35">
        <v>8</v>
      </c>
      <c r="AD40" s="18"/>
      <c r="AE40" s="14">
        <f t="shared" si="8"/>
        <v>-105.88235294117703</v>
      </c>
      <c r="AF40" s="118">
        <f t="shared" si="9"/>
        <v>0.95588235294117618</v>
      </c>
      <c r="AG40" s="615">
        <f>AF48</f>
        <v>0.9542506409106648</v>
      </c>
    </row>
    <row r="41" spans="1:33" ht="15.75" customHeight="1">
      <c r="A41" s="638" t="s">
        <v>11</v>
      </c>
      <c r="B41" s="29" t="s">
        <v>32</v>
      </c>
      <c r="C41" s="616" t="s">
        <v>37</v>
      </c>
      <c r="D41" s="616"/>
      <c r="E41" s="29">
        <v>24.43</v>
      </c>
      <c r="F41" s="125">
        <v>4300</v>
      </c>
      <c r="G41" s="119">
        <f t="shared" si="27"/>
        <v>105049</v>
      </c>
      <c r="H41" s="33">
        <v>2</v>
      </c>
      <c r="I41" s="123">
        <v>14</v>
      </c>
      <c r="J41" s="31">
        <v>2400</v>
      </c>
      <c r="K41" s="12">
        <f t="shared" si="1"/>
        <v>171.42857142857142</v>
      </c>
      <c r="L41" s="123">
        <v>14</v>
      </c>
      <c r="M41" s="13">
        <f t="shared" si="28"/>
        <v>2303.5714285714298</v>
      </c>
      <c r="N41" s="12">
        <f t="shared" si="3"/>
        <v>164.54081632653069</v>
      </c>
      <c r="O41" s="14">
        <f t="shared" si="4"/>
        <v>0</v>
      </c>
      <c r="P41" s="15">
        <f t="shared" si="5"/>
        <v>-6.8877551020407282</v>
      </c>
      <c r="Q41" s="118">
        <f t="shared" si="6"/>
        <v>0.95982142857142905</v>
      </c>
      <c r="R41" s="615"/>
      <c r="S41" s="34">
        <v>0.17430555555555557</v>
      </c>
      <c r="T41" s="34">
        <v>0.25208333333333333</v>
      </c>
      <c r="U41" s="119">
        <f t="shared" ref="U41:U47" si="30">(S41-T40)*24*60</f>
        <v>29.000000000000018</v>
      </c>
      <c r="V41" s="124">
        <f t="shared" si="29"/>
        <v>111.99999999999996</v>
      </c>
      <c r="W41" s="119"/>
      <c r="X41" s="119"/>
      <c r="Y41" s="119"/>
      <c r="Z41" s="119"/>
      <c r="AA41" s="617"/>
      <c r="AB41" s="617"/>
      <c r="AC41" s="35"/>
      <c r="AD41" s="18"/>
      <c r="AE41" s="14">
        <f t="shared" si="8"/>
        <v>-96.428571428570194</v>
      </c>
      <c r="AF41" s="118">
        <f t="shared" si="9"/>
        <v>0.95982142857142905</v>
      </c>
      <c r="AG41" s="615"/>
    </row>
    <row r="42" spans="1:33">
      <c r="A42" s="639" t="s">
        <v>11</v>
      </c>
      <c r="B42" s="29" t="s">
        <v>32</v>
      </c>
      <c r="C42" s="616" t="s">
        <v>39</v>
      </c>
      <c r="D42" s="616"/>
      <c r="E42" s="29">
        <v>34.1</v>
      </c>
      <c r="F42" s="125">
        <v>4000</v>
      </c>
      <c r="G42" s="119">
        <f t="shared" si="27"/>
        <v>136400</v>
      </c>
      <c r="H42" s="33">
        <v>2</v>
      </c>
      <c r="I42" s="123">
        <v>17</v>
      </c>
      <c r="J42" s="31">
        <v>1600</v>
      </c>
      <c r="K42" s="12">
        <f t="shared" si="1"/>
        <v>94.117647058823536</v>
      </c>
      <c r="L42" s="123">
        <v>17</v>
      </c>
      <c r="M42" s="13">
        <f t="shared" si="28"/>
        <v>1528.6624203821657</v>
      </c>
      <c r="N42" s="12">
        <f t="shared" si="3"/>
        <v>89.92131884600974</v>
      </c>
      <c r="O42" s="14">
        <f t="shared" si="4"/>
        <v>0</v>
      </c>
      <c r="P42" s="15">
        <f t="shared" si="5"/>
        <v>-4.1963282128137962</v>
      </c>
      <c r="Q42" s="118">
        <f t="shared" si="6"/>
        <v>0.9554140127388534</v>
      </c>
      <c r="R42" s="615"/>
      <c r="S42" s="34">
        <v>0.25694444444444442</v>
      </c>
      <c r="T42" s="34">
        <v>0.3659722222222222</v>
      </c>
      <c r="U42" s="119">
        <f t="shared" si="30"/>
        <v>6.9999999999999751</v>
      </c>
      <c r="V42" s="124">
        <f t="shared" si="29"/>
        <v>157</v>
      </c>
      <c r="W42" s="119"/>
      <c r="X42" s="119"/>
      <c r="Y42" s="119"/>
      <c r="Z42" s="119"/>
      <c r="AA42" s="617"/>
      <c r="AB42" s="617"/>
      <c r="AC42" s="35"/>
      <c r="AD42" s="18"/>
      <c r="AE42" s="14">
        <f t="shared" si="8"/>
        <v>-71.337579617834308</v>
      </c>
      <c r="AF42" s="118">
        <f t="shared" si="9"/>
        <v>0.95541401273885351</v>
      </c>
      <c r="AG42" s="615"/>
    </row>
    <row r="43" spans="1:33">
      <c r="A43" s="639" t="s">
        <v>11</v>
      </c>
      <c r="B43" s="29" t="s">
        <v>32</v>
      </c>
      <c r="C43" s="616" t="s">
        <v>38</v>
      </c>
      <c r="D43" s="616"/>
      <c r="E43" s="29">
        <v>25.98</v>
      </c>
      <c r="F43" s="125">
        <v>3385</v>
      </c>
      <c r="G43" s="119">
        <f t="shared" si="27"/>
        <v>87942.3</v>
      </c>
      <c r="H43" s="33" t="s">
        <v>57</v>
      </c>
      <c r="I43" s="123">
        <v>19</v>
      </c>
      <c r="J43" s="31">
        <v>2400</v>
      </c>
      <c r="K43" s="12">
        <f t="shared" si="1"/>
        <v>126.31578947368421</v>
      </c>
      <c r="L43" s="123">
        <v>19</v>
      </c>
      <c r="M43" s="13">
        <f t="shared" si="28"/>
        <v>2282.0224719101125</v>
      </c>
      <c r="N43" s="12">
        <f t="shared" si="3"/>
        <v>120.10644589000592</v>
      </c>
      <c r="O43" s="14">
        <f t="shared" si="4"/>
        <v>0</v>
      </c>
      <c r="P43" s="15">
        <f t="shared" si="5"/>
        <v>-6.2093435836782902</v>
      </c>
      <c r="Q43" s="118">
        <f t="shared" si="6"/>
        <v>0.9508426966292135</v>
      </c>
      <c r="R43" s="615"/>
      <c r="S43" s="34">
        <v>0.36944444444444441</v>
      </c>
      <c r="T43" s="34">
        <v>0.43124999999999997</v>
      </c>
      <c r="U43" s="119">
        <f t="shared" si="30"/>
        <v>4.9999999999999822</v>
      </c>
      <c r="V43" s="124">
        <f t="shared" si="29"/>
        <v>89</v>
      </c>
      <c r="W43" s="16"/>
      <c r="X43" s="16"/>
      <c r="Y43" s="16"/>
      <c r="Z43" s="16"/>
      <c r="AA43" s="617"/>
      <c r="AB43" s="617"/>
      <c r="AC43" s="35"/>
      <c r="AD43" s="18"/>
      <c r="AE43" s="14">
        <f t="shared" si="8"/>
        <v>-117.97752808988753</v>
      </c>
      <c r="AF43" s="118">
        <f t="shared" si="9"/>
        <v>0.9508426966292135</v>
      </c>
      <c r="AG43" s="615"/>
    </row>
    <row r="44" spans="1:33">
      <c r="A44" s="639" t="s">
        <v>11</v>
      </c>
      <c r="B44" s="29" t="s">
        <v>32</v>
      </c>
      <c r="C44" s="616" t="s">
        <v>79</v>
      </c>
      <c r="D44" s="616"/>
      <c r="E44" s="29">
        <v>25.99</v>
      </c>
      <c r="F44" s="125">
        <v>3163</v>
      </c>
      <c r="G44" s="119">
        <f t="shared" si="27"/>
        <v>82206.37</v>
      </c>
      <c r="H44" s="33" t="s">
        <v>57</v>
      </c>
      <c r="I44" s="123">
        <v>18</v>
      </c>
      <c r="J44" s="31">
        <v>2400</v>
      </c>
      <c r="K44" s="12">
        <f t="shared" si="1"/>
        <v>133.33333333333334</v>
      </c>
      <c r="L44" s="123">
        <v>18</v>
      </c>
      <c r="M44" s="13">
        <f t="shared" si="28"/>
        <v>2286.5060240963849</v>
      </c>
      <c r="N44" s="12">
        <f t="shared" si="3"/>
        <v>127.02811244979915</v>
      </c>
      <c r="O44" s="14">
        <f t="shared" si="4"/>
        <v>0</v>
      </c>
      <c r="P44" s="15">
        <f t="shared" si="5"/>
        <v>-6.3052208835341901</v>
      </c>
      <c r="Q44" s="118">
        <f t="shared" si="6"/>
        <v>0.95271084337349354</v>
      </c>
      <c r="R44" s="615"/>
      <c r="S44" s="34">
        <v>0.43611111111111106</v>
      </c>
      <c r="T44" s="34">
        <v>0.49374999999999997</v>
      </c>
      <c r="U44" s="119">
        <f t="shared" si="30"/>
        <v>6.9999999999999751</v>
      </c>
      <c r="V44" s="124">
        <f t="shared" si="29"/>
        <v>83.000000000000028</v>
      </c>
      <c r="W44" s="16">
        <f>T44</f>
        <v>0.49374999999999997</v>
      </c>
      <c r="X44" s="16">
        <f>S45</f>
        <v>0.53402777777777766</v>
      </c>
      <c r="Y44" s="16"/>
      <c r="Z44" s="16"/>
      <c r="AA44" s="617"/>
      <c r="AB44" s="617"/>
      <c r="AC44" s="35"/>
      <c r="AD44" s="18"/>
      <c r="AE44" s="14">
        <f t="shared" si="8"/>
        <v>-113.49397590361514</v>
      </c>
      <c r="AF44" s="118">
        <f t="shared" si="9"/>
        <v>0.95271084337349365</v>
      </c>
      <c r="AG44" s="615"/>
    </row>
    <row r="45" spans="1:33">
      <c r="A45" s="639" t="s">
        <v>11</v>
      </c>
      <c r="B45" s="29" t="s">
        <v>32</v>
      </c>
      <c r="C45" s="616" t="s">
        <v>77</v>
      </c>
      <c r="D45" s="616"/>
      <c r="E45" s="29">
        <v>26.18</v>
      </c>
      <c r="F45" s="125">
        <v>3013</v>
      </c>
      <c r="G45" s="119">
        <f t="shared" si="27"/>
        <v>78880.34</v>
      </c>
      <c r="H45" s="33" t="s">
        <v>57</v>
      </c>
      <c r="I45" s="123">
        <v>20</v>
      </c>
      <c r="J45" s="31">
        <v>2400</v>
      </c>
      <c r="K45" s="12">
        <f t="shared" si="1"/>
        <v>120</v>
      </c>
      <c r="L45" s="123">
        <v>20</v>
      </c>
      <c r="M45" s="13">
        <f t="shared" si="28"/>
        <v>2288.3544303797457</v>
      </c>
      <c r="N45" s="12">
        <f t="shared" si="3"/>
        <v>114.41772151898729</v>
      </c>
      <c r="O45" s="14">
        <f t="shared" si="4"/>
        <v>0</v>
      </c>
      <c r="P45" s="15">
        <f t="shared" si="5"/>
        <v>-5.5822784810127075</v>
      </c>
      <c r="Q45" s="118">
        <f t="shared" si="6"/>
        <v>0.95348101265822749</v>
      </c>
      <c r="R45" s="615"/>
      <c r="S45" s="34">
        <v>0.53402777777777766</v>
      </c>
      <c r="T45" s="34">
        <v>0.5888888888888888</v>
      </c>
      <c r="U45" s="119">
        <f t="shared" si="30"/>
        <v>57.999999999999872</v>
      </c>
      <c r="V45" s="124">
        <f t="shared" si="29"/>
        <v>79.000000000000043</v>
      </c>
      <c r="W45" s="16"/>
      <c r="X45" s="16"/>
      <c r="Y45" s="16"/>
      <c r="Z45" s="16"/>
      <c r="AA45" s="617"/>
      <c r="AB45" s="617"/>
      <c r="AC45" s="35"/>
      <c r="AD45" s="18"/>
      <c r="AE45" s="14">
        <f t="shared" si="8"/>
        <v>-111.64556962025426</v>
      </c>
      <c r="AF45" s="118">
        <f t="shared" si="9"/>
        <v>0.95348101265822738</v>
      </c>
      <c r="AG45" s="615"/>
    </row>
    <row r="46" spans="1:33">
      <c r="A46" s="639" t="s">
        <v>11</v>
      </c>
      <c r="B46" s="29" t="s">
        <v>32</v>
      </c>
      <c r="C46" s="616" t="s">
        <v>37</v>
      </c>
      <c r="D46" s="616"/>
      <c r="E46" s="29">
        <v>24.43</v>
      </c>
      <c r="F46" s="125">
        <v>3279</v>
      </c>
      <c r="G46" s="119">
        <f t="shared" si="27"/>
        <v>80105.97</v>
      </c>
      <c r="H46" s="33" t="s">
        <v>57</v>
      </c>
      <c r="I46" s="123">
        <v>14</v>
      </c>
      <c r="J46" s="31">
        <v>2400</v>
      </c>
      <c r="K46" s="12">
        <f t="shared" si="1"/>
        <v>171.42857142857142</v>
      </c>
      <c r="L46" s="123">
        <v>14</v>
      </c>
      <c r="M46" s="13">
        <f t="shared" si="28"/>
        <v>2287.6744186046508</v>
      </c>
      <c r="N46" s="12">
        <f t="shared" si="3"/>
        <v>163.4053156146179</v>
      </c>
      <c r="O46" s="14">
        <f t="shared" si="4"/>
        <v>0</v>
      </c>
      <c r="P46" s="15">
        <f t="shared" si="5"/>
        <v>-8.0232558139535115</v>
      </c>
      <c r="Q46" s="118">
        <f t="shared" si="6"/>
        <v>0.95319767441860448</v>
      </c>
      <c r="R46" s="615"/>
      <c r="S46" s="34">
        <v>0.59236111111111101</v>
      </c>
      <c r="T46" s="34">
        <v>0.65208333333333324</v>
      </c>
      <c r="U46" s="119">
        <f t="shared" si="30"/>
        <v>4.9999999999999822</v>
      </c>
      <c r="V46" s="124">
        <f t="shared" si="29"/>
        <v>86.000000000000014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-112.32558139534922</v>
      </c>
      <c r="AF46" s="118">
        <f t="shared" si="9"/>
        <v>0.95319767441860448</v>
      </c>
      <c r="AG46" s="615"/>
    </row>
    <row r="47" spans="1:33">
      <c r="A47" s="639" t="s">
        <v>11</v>
      </c>
      <c r="B47" s="29" t="s">
        <v>32</v>
      </c>
      <c r="C47" s="616" t="s">
        <v>39</v>
      </c>
      <c r="D47" s="616"/>
      <c r="E47" s="29">
        <v>34.1</v>
      </c>
      <c r="F47" s="125">
        <v>3124</v>
      </c>
      <c r="G47" s="119">
        <f t="shared" si="27"/>
        <v>106528.40000000001</v>
      </c>
      <c r="H47" s="33" t="s">
        <v>57</v>
      </c>
      <c r="I47" s="123">
        <v>17</v>
      </c>
      <c r="J47" s="31">
        <v>1600</v>
      </c>
      <c r="K47" s="12">
        <f t="shared" si="1"/>
        <v>94.117647058823536</v>
      </c>
      <c r="L47" s="123">
        <v>17</v>
      </c>
      <c r="M47" s="13">
        <f t="shared" si="28"/>
        <v>1523.9024390243899</v>
      </c>
      <c r="N47" s="12">
        <f t="shared" si="3"/>
        <v>89.641319942611176</v>
      </c>
      <c r="O47" s="14">
        <f t="shared" si="4"/>
        <v>0</v>
      </c>
      <c r="P47" s="15">
        <f t="shared" si="5"/>
        <v>-4.4763271162123601</v>
      </c>
      <c r="Q47" s="118">
        <f t="shared" si="6"/>
        <v>0.95243902439024364</v>
      </c>
      <c r="R47" s="615"/>
      <c r="S47" s="34">
        <v>0.65624999999999989</v>
      </c>
      <c r="T47" s="34">
        <v>0.74166666666666659</v>
      </c>
      <c r="U47" s="119">
        <f t="shared" si="30"/>
        <v>5.9999999999999787</v>
      </c>
      <c r="V47" s="124">
        <f t="shared" si="29"/>
        <v>123.00000000000004</v>
      </c>
      <c r="W47" s="16"/>
      <c r="X47" s="16"/>
      <c r="Y47" s="19"/>
      <c r="Z47" s="19"/>
      <c r="AA47" s="624"/>
      <c r="AB47" s="625"/>
      <c r="AC47" s="35"/>
      <c r="AD47" s="18"/>
      <c r="AE47" s="14">
        <f t="shared" si="8"/>
        <v>-76.097560975610122</v>
      </c>
      <c r="AF47" s="118">
        <f t="shared" si="9"/>
        <v>0.95243902439024364</v>
      </c>
      <c r="AG47" s="615"/>
    </row>
    <row r="48" spans="1:33">
      <c r="A48" s="639" t="s">
        <v>11</v>
      </c>
      <c r="B48" s="30" t="s">
        <v>6</v>
      </c>
      <c r="C48" s="618"/>
      <c r="D48" s="618"/>
      <c r="E48" s="120"/>
      <c r="F48" s="30"/>
      <c r="G48" s="12"/>
      <c r="H48" s="125"/>
      <c r="I48" s="23">
        <v>17.375</v>
      </c>
      <c r="J48" s="31">
        <v>2200</v>
      </c>
      <c r="K48" s="12">
        <f t="shared" si="1"/>
        <v>126.61870503597122</v>
      </c>
      <c r="L48" s="23">
        <v>17.375</v>
      </c>
      <c r="M48" s="13">
        <f>AVERAGE(M40:M47)</f>
        <v>2099.3514100034627</v>
      </c>
      <c r="N48" s="12">
        <f t="shared" si="3"/>
        <v>120.82598043185396</v>
      </c>
      <c r="O48" s="14">
        <f t="shared" si="4"/>
        <v>0</v>
      </c>
      <c r="P48" s="15">
        <f t="shared" si="5"/>
        <v>-5.7927246041172538</v>
      </c>
      <c r="Q48" s="118">
        <f t="shared" si="6"/>
        <v>0.95425064091066492</v>
      </c>
      <c r="R48" s="615"/>
      <c r="S48" s="34"/>
      <c r="T48" s="34"/>
      <c r="U48" s="12"/>
      <c r="V48" s="124"/>
      <c r="W48" s="12"/>
      <c r="X48" s="12"/>
      <c r="Y48" s="24">
        <f>SUM(Y40:Y47)</f>
        <v>0</v>
      </c>
      <c r="Z48" s="24">
        <f>SUM(Z40:Z47)</f>
        <v>0</v>
      </c>
      <c r="AA48" s="614"/>
      <c r="AB48" s="614"/>
      <c r="AC48" s="24">
        <v>8</v>
      </c>
      <c r="AD48" s="24">
        <f>SUM(AD40:AD47)</f>
        <v>0</v>
      </c>
      <c r="AE48" s="14">
        <f t="shared" si="8"/>
        <v>-100.64858999653734</v>
      </c>
      <c r="AF48" s="118">
        <f t="shared" si="9"/>
        <v>0.9542506409106648</v>
      </c>
      <c r="AG48" s="615"/>
    </row>
    <row r="49" spans="1:33" ht="15.75" customHeight="1">
      <c r="A49" s="632" t="s">
        <v>12</v>
      </c>
      <c r="B49" s="29" t="s">
        <v>40</v>
      </c>
      <c r="C49" s="622" t="s">
        <v>41</v>
      </c>
      <c r="D49" s="623"/>
      <c r="E49" s="29">
        <v>37.880000000000003</v>
      </c>
      <c r="F49" s="125">
        <v>1307</v>
      </c>
      <c r="G49" s="119">
        <f t="shared" ref="G49:G52" si="31">E49*F49</f>
        <v>49509.16</v>
      </c>
      <c r="H49" s="33" t="s">
        <v>57</v>
      </c>
      <c r="I49" s="123">
        <v>13</v>
      </c>
      <c r="J49" s="31">
        <v>2000</v>
      </c>
      <c r="K49" s="12">
        <f t="shared" si="1"/>
        <v>153.84615384615384</v>
      </c>
      <c r="L49" s="123">
        <v>13</v>
      </c>
      <c r="M49" s="13">
        <f t="shared" ref="M49:M52" si="32">F49/V49*60</f>
        <v>1912.6829268292686</v>
      </c>
      <c r="N49" s="13">
        <f t="shared" si="3"/>
        <v>147.12945590994374</v>
      </c>
      <c r="O49" s="14">
        <f t="shared" si="4"/>
        <v>0</v>
      </c>
      <c r="P49" s="15">
        <f t="shared" si="5"/>
        <v>-6.716697936210096</v>
      </c>
      <c r="Q49" s="118">
        <f t="shared" si="6"/>
        <v>0.95634146341463433</v>
      </c>
      <c r="R49" s="635">
        <f>Q53</f>
        <v>0.95479508244181732</v>
      </c>
      <c r="S49" s="34">
        <v>8.3333333333333329E-2</v>
      </c>
      <c r="T49" s="34">
        <v>0.11180555555555555</v>
      </c>
      <c r="U49" s="21"/>
      <c r="V49" s="124">
        <f t="shared" ref="V49:V52" si="33">(T49-S49)*24*60</f>
        <v>40.999999999999993</v>
      </c>
      <c r="W49" s="16">
        <f>T49</f>
        <v>0.11180555555555555</v>
      </c>
      <c r="X49" s="16">
        <f>S50</f>
        <v>0.13263888888888889</v>
      </c>
      <c r="Y49" s="19"/>
      <c r="Z49" s="19"/>
      <c r="AA49" s="624"/>
      <c r="AB49" s="625"/>
      <c r="AC49" s="35">
        <v>4</v>
      </c>
      <c r="AD49" s="18"/>
      <c r="AE49" s="14">
        <f t="shared" si="8"/>
        <v>-87.317073170731419</v>
      </c>
      <c r="AF49" s="118">
        <f t="shared" si="9"/>
        <v>0.95634146341463433</v>
      </c>
      <c r="AG49" s="635">
        <f>AF53</f>
        <v>0.95479508244181732</v>
      </c>
    </row>
    <row r="50" spans="1:33" ht="15.75" customHeight="1">
      <c r="A50" s="633" t="s">
        <v>275</v>
      </c>
      <c r="B50" s="29" t="s">
        <v>40</v>
      </c>
      <c r="C50" s="622" t="s">
        <v>42</v>
      </c>
      <c r="D50" s="623"/>
      <c r="E50" s="29">
        <v>35.119999999999997</v>
      </c>
      <c r="F50" s="125">
        <v>6023</v>
      </c>
      <c r="G50" s="119">
        <f t="shared" si="31"/>
        <v>211527.75999999998</v>
      </c>
      <c r="H50" s="33" t="s">
        <v>57</v>
      </c>
      <c r="I50" s="123">
        <v>10</v>
      </c>
      <c r="J50" s="31">
        <v>3000</v>
      </c>
      <c r="K50" s="12">
        <f t="shared" si="1"/>
        <v>300</v>
      </c>
      <c r="L50" s="123">
        <v>10</v>
      </c>
      <c r="M50" s="13">
        <f t="shared" si="32"/>
        <v>2868.0952380952385</v>
      </c>
      <c r="N50" s="13">
        <f t="shared" si="3"/>
        <v>286.80952380952385</v>
      </c>
      <c r="O50" s="14">
        <f t="shared" si="4"/>
        <v>0</v>
      </c>
      <c r="P50" s="15">
        <f t="shared" si="5"/>
        <v>-13.190476190476147</v>
      </c>
      <c r="Q50" s="118">
        <f t="shared" si="6"/>
        <v>0.95603174603174612</v>
      </c>
      <c r="R50" s="636"/>
      <c r="S50" s="34">
        <v>0.13263888888888889</v>
      </c>
      <c r="T50" s="34">
        <v>0.22013888888888888</v>
      </c>
      <c r="U50" s="119">
        <f t="shared" ref="U50:U52" si="34">(S50-T49)*24*60</f>
        <v>30.000000000000014</v>
      </c>
      <c r="V50" s="124">
        <f t="shared" si="33"/>
        <v>125.99999999999997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-131.90476190476147</v>
      </c>
      <c r="AF50" s="118">
        <f t="shared" si="9"/>
        <v>0.95603174603174612</v>
      </c>
      <c r="AG50" s="636"/>
    </row>
    <row r="51" spans="1:33" ht="15.75" customHeight="1">
      <c r="A51" s="633" t="s">
        <v>275</v>
      </c>
      <c r="B51" s="29" t="s">
        <v>40</v>
      </c>
      <c r="C51" s="622" t="s">
        <v>43</v>
      </c>
      <c r="D51" s="623"/>
      <c r="E51" s="29">
        <v>21.13</v>
      </c>
      <c r="F51" s="125">
        <v>5919</v>
      </c>
      <c r="G51" s="119">
        <f t="shared" si="31"/>
        <v>125068.47</v>
      </c>
      <c r="H51" s="33" t="s">
        <v>57</v>
      </c>
      <c r="I51" s="123">
        <v>10</v>
      </c>
      <c r="J51" s="31">
        <v>3000</v>
      </c>
      <c r="K51" s="12">
        <f t="shared" si="1"/>
        <v>300</v>
      </c>
      <c r="L51" s="123">
        <v>10</v>
      </c>
      <c r="M51" s="13">
        <f t="shared" si="32"/>
        <v>2864.0322580645166</v>
      </c>
      <c r="N51" s="13">
        <f t="shared" si="3"/>
        <v>286.40322580645164</v>
      </c>
      <c r="O51" s="14">
        <f t="shared" si="4"/>
        <v>0</v>
      </c>
      <c r="P51" s="15">
        <f t="shared" si="5"/>
        <v>-13.596774193548356</v>
      </c>
      <c r="Q51" s="118">
        <f t="shared" si="6"/>
        <v>0.95467741935483885</v>
      </c>
      <c r="R51" s="636"/>
      <c r="S51" s="34">
        <v>0.22430555555555556</v>
      </c>
      <c r="T51" s="34">
        <v>0.31041666666666667</v>
      </c>
      <c r="U51" s="119">
        <f t="shared" si="34"/>
        <v>6.0000000000000187</v>
      </c>
      <c r="V51" s="124">
        <f t="shared" si="33"/>
        <v>123.99999999999999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-135.96774193548345</v>
      </c>
      <c r="AF51" s="118">
        <f t="shared" si="9"/>
        <v>0.95467741935483885</v>
      </c>
      <c r="AG51" s="636"/>
    </row>
    <row r="52" spans="1:33" ht="15.75" customHeight="1">
      <c r="A52" s="633" t="s">
        <v>275</v>
      </c>
      <c r="B52" s="29" t="s">
        <v>40</v>
      </c>
      <c r="C52" s="622" t="s">
        <v>44</v>
      </c>
      <c r="D52" s="623"/>
      <c r="E52" s="29">
        <v>27.17</v>
      </c>
      <c r="F52" s="125">
        <v>7383</v>
      </c>
      <c r="G52" s="119">
        <f t="shared" si="31"/>
        <v>200596.11000000002</v>
      </c>
      <c r="H52" s="33" t="s">
        <v>57</v>
      </c>
      <c r="I52" s="123">
        <v>10</v>
      </c>
      <c r="J52" s="31">
        <v>3000</v>
      </c>
      <c r="K52" s="12">
        <f t="shared" si="1"/>
        <v>300</v>
      </c>
      <c r="L52" s="123">
        <v>10</v>
      </c>
      <c r="M52" s="13">
        <f t="shared" si="32"/>
        <v>2857.9354838709678</v>
      </c>
      <c r="N52" s="13">
        <f t="shared" si="3"/>
        <v>285.79354838709679</v>
      </c>
      <c r="O52" s="14">
        <f t="shared" si="4"/>
        <v>0</v>
      </c>
      <c r="P52" s="15">
        <f t="shared" si="5"/>
        <v>-14.206451612903209</v>
      </c>
      <c r="Q52" s="118">
        <f t="shared" si="6"/>
        <v>0.95264516129032262</v>
      </c>
      <c r="R52" s="636"/>
      <c r="S52" s="34">
        <v>0.31597222222222221</v>
      </c>
      <c r="T52" s="34">
        <v>0.4236111111111111</v>
      </c>
      <c r="U52" s="119">
        <f t="shared" si="34"/>
        <v>7.9999999999999716</v>
      </c>
      <c r="V52" s="124">
        <f t="shared" si="33"/>
        <v>155</v>
      </c>
      <c r="W52" s="16"/>
      <c r="X52" s="16"/>
      <c r="Y52" s="19"/>
      <c r="Z52" s="19"/>
      <c r="AA52" s="624"/>
      <c r="AB52" s="625"/>
      <c r="AC52" s="35"/>
      <c r="AD52" s="18"/>
      <c r="AE52" s="14">
        <f t="shared" si="8"/>
        <v>-142.0645161290322</v>
      </c>
      <c r="AF52" s="118">
        <f t="shared" si="9"/>
        <v>0.95264516129032262</v>
      </c>
      <c r="AG52" s="636"/>
    </row>
    <row r="53" spans="1:33" ht="15.75" customHeight="1">
      <c r="A53" s="634" t="s">
        <v>275</v>
      </c>
      <c r="B53" s="29" t="s">
        <v>276</v>
      </c>
      <c r="C53" s="612"/>
      <c r="D53" s="613"/>
      <c r="E53" s="116"/>
      <c r="F53" s="125"/>
      <c r="G53" s="119"/>
      <c r="H53" s="125"/>
      <c r="I53" s="23">
        <v>10.75</v>
      </c>
      <c r="J53" s="31">
        <v>2750</v>
      </c>
      <c r="K53" s="12">
        <f t="shared" si="1"/>
        <v>255.81395348837211</v>
      </c>
      <c r="L53" s="23">
        <v>10.75</v>
      </c>
      <c r="M53" s="13">
        <f>AVERAGE(M49:M52)</f>
        <v>2625.6864767149978</v>
      </c>
      <c r="N53" s="12">
        <f t="shared" si="3"/>
        <v>244.24990481069747</v>
      </c>
      <c r="O53" s="14">
        <f t="shared" si="4"/>
        <v>0</v>
      </c>
      <c r="P53" s="15">
        <f t="shared" si="5"/>
        <v>-11.564048677674634</v>
      </c>
      <c r="Q53" s="118">
        <f t="shared" si="6"/>
        <v>0.95479508244181732</v>
      </c>
      <c r="R53" s="637"/>
      <c r="S53" s="34"/>
      <c r="T53" s="34"/>
      <c r="U53" s="119"/>
      <c r="V53" s="124"/>
      <c r="W53" s="16"/>
      <c r="X53" s="16"/>
      <c r="Y53" s="24">
        <f>SUM(Y49:Y52)</f>
        <v>0</v>
      </c>
      <c r="Z53" s="24">
        <f>SUM(Z49:Z52)</f>
        <v>0</v>
      </c>
      <c r="AA53" s="628"/>
      <c r="AB53" s="629"/>
      <c r="AC53" s="24">
        <v>4</v>
      </c>
      <c r="AD53" s="24">
        <f>SUM(AD49:AD52)</f>
        <v>0</v>
      </c>
      <c r="AE53" s="14">
        <f t="shared" si="8"/>
        <v>-124.31352328500225</v>
      </c>
      <c r="AF53" s="118">
        <f t="shared" si="9"/>
        <v>0.95479508244181732</v>
      </c>
      <c r="AG53" s="637"/>
    </row>
    <row r="54" spans="1:33" ht="15.75" customHeight="1">
      <c r="A54" s="630" t="s">
        <v>277</v>
      </c>
      <c r="B54" s="29" t="s">
        <v>19</v>
      </c>
      <c r="C54" s="616" t="s">
        <v>45</v>
      </c>
      <c r="D54" s="616"/>
      <c r="E54" s="29">
        <v>46</v>
      </c>
      <c r="F54" s="32">
        <v>2666</v>
      </c>
      <c r="G54" s="119">
        <f t="shared" ref="G54:G60" si="35">E54*F54</f>
        <v>122636</v>
      </c>
      <c r="H54" s="33" t="s">
        <v>57</v>
      </c>
      <c r="I54" s="123">
        <v>16</v>
      </c>
      <c r="J54" s="31">
        <v>2000</v>
      </c>
      <c r="K54" s="12">
        <f t="shared" si="1"/>
        <v>125</v>
      </c>
      <c r="L54" s="123">
        <v>16</v>
      </c>
      <c r="M54" s="13">
        <f t="shared" ref="M54" si="36">F54/V54*60</f>
        <v>1904.2857142857147</v>
      </c>
      <c r="N54" s="13">
        <f t="shared" si="3"/>
        <v>119.01785714285717</v>
      </c>
      <c r="O54" s="14">
        <f t="shared" si="4"/>
        <v>0</v>
      </c>
      <c r="P54" s="15">
        <f t="shared" si="5"/>
        <v>-5.9821428571428328</v>
      </c>
      <c r="Q54" s="118">
        <f t="shared" si="6"/>
        <v>0.95214285714285729</v>
      </c>
      <c r="R54" s="615">
        <f>Q61</f>
        <v>0.95774422017295802</v>
      </c>
      <c r="S54" s="34">
        <v>0.20833333333333334</v>
      </c>
      <c r="T54" s="34">
        <v>0.26666666666666666</v>
      </c>
      <c r="U54" s="21"/>
      <c r="V54" s="124">
        <f t="shared" ref="V54:V60" si="37">(T54-S54)*24*60</f>
        <v>83.999999999999986</v>
      </c>
      <c r="W54" s="21"/>
      <c r="X54" s="21"/>
      <c r="Y54" s="21"/>
      <c r="Z54" s="21"/>
      <c r="AA54" s="617"/>
      <c r="AB54" s="617"/>
      <c r="AC54" s="35">
        <v>7</v>
      </c>
      <c r="AD54" s="18"/>
      <c r="AE54" s="14">
        <f t="shared" si="8"/>
        <v>-95.714285714285325</v>
      </c>
      <c r="AF54" s="118">
        <f t="shared" si="9"/>
        <v>0.95214285714285729</v>
      </c>
      <c r="AG54" s="615">
        <f>AF61</f>
        <v>0.95774422017295802</v>
      </c>
    </row>
    <row r="55" spans="1:33" ht="15.75" customHeight="1">
      <c r="A55" s="630" t="s">
        <v>277</v>
      </c>
      <c r="B55" s="29" t="s">
        <v>19</v>
      </c>
      <c r="C55" s="616" t="s">
        <v>81</v>
      </c>
      <c r="D55" s="616"/>
      <c r="E55" s="29">
        <v>46</v>
      </c>
      <c r="F55" s="32">
        <v>3903</v>
      </c>
      <c r="G55" s="119">
        <f t="shared" si="35"/>
        <v>179538</v>
      </c>
      <c r="H55" s="33" t="s">
        <v>57</v>
      </c>
      <c r="I55" s="123">
        <v>16</v>
      </c>
      <c r="J55" s="31">
        <v>2000</v>
      </c>
      <c r="K55" s="12">
        <f t="shared" si="1"/>
        <v>125</v>
      </c>
      <c r="L55" s="123">
        <v>16</v>
      </c>
      <c r="M55" s="13">
        <f>F55/V55*60</f>
        <v>1903.9024390243908</v>
      </c>
      <c r="N55" s="13">
        <f t="shared" si="3"/>
        <v>118.99390243902442</v>
      </c>
      <c r="O55" s="14">
        <f t="shared" si="4"/>
        <v>0</v>
      </c>
      <c r="P55" s="15">
        <f t="shared" si="5"/>
        <v>-6.0060975609755758</v>
      </c>
      <c r="Q55" s="118">
        <f t="shared" si="6"/>
        <v>0.95195121951219541</v>
      </c>
      <c r="R55" s="615"/>
      <c r="S55" s="34">
        <v>0.2722222222222222</v>
      </c>
      <c r="T55" s="34">
        <v>0.35763888888888884</v>
      </c>
      <c r="U55" s="119">
        <f t="shared" ref="U55:U60" si="38">IF(S55=TIME(17,0,0),"",(S55-T54)*24*60)</f>
        <v>7.9999999999999716</v>
      </c>
      <c r="V55" s="124">
        <f t="shared" si="37"/>
        <v>122.99999999999996</v>
      </c>
      <c r="W55" s="16"/>
      <c r="X55" s="16"/>
      <c r="Y55" s="16"/>
      <c r="Z55" s="16"/>
      <c r="AA55" s="617"/>
      <c r="AB55" s="617"/>
      <c r="AC55" s="35"/>
      <c r="AD55" s="18"/>
      <c r="AE55" s="14">
        <f t="shared" si="8"/>
        <v>-96.097560975609213</v>
      </c>
      <c r="AF55" s="118">
        <f t="shared" si="9"/>
        <v>0.95195121951219541</v>
      </c>
      <c r="AG55" s="615"/>
    </row>
    <row r="56" spans="1:33" ht="15.75" customHeight="1">
      <c r="A56" s="630" t="s">
        <v>277</v>
      </c>
      <c r="B56" s="29" t="s">
        <v>15</v>
      </c>
      <c r="C56" s="622" t="s">
        <v>47</v>
      </c>
      <c r="D56" s="623"/>
      <c r="E56" s="29">
        <v>51.75</v>
      </c>
      <c r="F56" s="32">
        <v>904</v>
      </c>
      <c r="G56" s="119">
        <f t="shared" si="35"/>
        <v>46782</v>
      </c>
      <c r="H56" s="33" t="s">
        <v>57</v>
      </c>
      <c r="I56" s="123">
        <v>25</v>
      </c>
      <c r="J56" s="31">
        <v>2000</v>
      </c>
      <c r="K56" s="12">
        <f t="shared" si="1"/>
        <v>80</v>
      </c>
      <c r="L56" s="123">
        <v>25</v>
      </c>
      <c r="M56" s="13">
        <f t="shared" ref="M56:M60" si="39">F56/V56*60</f>
        <v>1937.1428571428587</v>
      </c>
      <c r="N56" s="13">
        <f t="shared" si="3"/>
        <v>77.485714285714351</v>
      </c>
      <c r="O56" s="14">
        <f t="shared" si="4"/>
        <v>0</v>
      </c>
      <c r="P56" s="15">
        <f t="shared" si="5"/>
        <v>-2.5142857142856485</v>
      </c>
      <c r="Q56" s="118">
        <f t="shared" si="6"/>
        <v>0.96857142857142942</v>
      </c>
      <c r="R56" s="615"/>
      <c r="S56" s="34">
        <v>0.36249999999999993</v>
      </c>
      <c r="T56" s="34">
        <v>0.38194444444444436</v>
      </c>
      <c r="U56" s="119">
        <f t="shared" si="38"/>
        <v>6.9999999999999751</v>
      </c>
      <c r="V56" s="124">
        <f t="shared" si="37"/>
        <v>27.999999999999979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-62.857142857141298</v>
      </c>
      <c r="AF56" s="118">
        <f t="shared" si="9"/>
        <v>0.9685714285714293</v>
      </c>
      <c r="AG56" s="615"/>
    </row>
    <row r="57" spans="1:33" ht="15.75" customHeight="1">
      <c r="A57" s="630" t="s">
        <v>277</v>
      </c>
      <c r="B57" s="29" t="s">
        <v>15</v>
      </c>
      <c r="C57" s="112" t="s">
        <v>46</v>
      </c>
      <c r="D57" s="113"/>
      <c r="E57" s="29">
        <v>56.43</v>
      </c>
      <c r="F57" s="32">
        <v>1597</v>
      </c>
      <c r="G57" s="119">
        <f t="shared" si="35"/>
        <v>90118.71</v>
      </c>
      <c r="H57" s="33" t="s">
        <v>57</v>
      </c>
      <c r="I57" s="123">
        <v>22</v>
      </c>
      <c r="J57" s="31">
        <v>2000</v>
      </c>
      <c r="K57" s="12">
        <f t="shared" si="1"/>
        <v>90.909090909090907</v>
      </c>
      <c r="L57" s="123">
        <v>22</v>
      </c>
      <c r="M57" s="13">
        <f t="shared" si="39"/>
        <v>1916.4000000000005</v>
      </c>
      <c r="N57" s="13">
        <f t="shared" si="3"/>
        <v>87.109090909090938</v>
      </c>
      <c r="O57" s="14">
        <f t="shared" si="4"/>
        <v>0</v>
      </c>
      <c r="P57" s="15">
        <f t="shared" si="5"/>
        <v>-3.7999999999999687</v>
      </c>
      <c r="Q57" s="118">
        <f t="shared" si="6"/>
        <v>0.95820000000000038</v>
      </c>
      <c r="R57" s="615"/>
      <c r="S57" s="34">
        <v>0.38680555555555546</v>
      </c>
      <c r="T57" s="34">
        <v>0.42152777777777767</v>
      </c>
      <c r="U57" s="119">
        <f t="shared" si="38"/>
        <v>6.9999999999999751</v>
      </c>
      <c r="V57" s="124">
        <f t="shared" si="37"/>
        <v>49.999999999999986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-83.599999999999454</v>
      </c>
      <c r="AF57" s="118">
        <f t="shared" si="9"/>
        <v>0.95820000000000027</v>
      </c>
      <c r="AG57" s="615"/>
    </row>
    <row r="58" spans="1:33" ht="15.75" customHeight="1">
      <c r="A58" s="630" t="s">
        <v>277</v>
      </c>
      <c r="B58" s="29" t="s">
        <v>15</v>
      </c>
      <c r="C58" s="112" t="s">
        <v>27</v>
      </c>
      <c r="D58" s="113"/>
      <c r="E58" s="29">
        <v>59.04</v>
      </c>
      <c r="F58" s="32">
        <v>3417</v>
      </c>
      <c r="G58" s="119">
        <f t="shared" si="35"/>
        <v>201739.68</v>
      </c>
      <c r="H58" s="33" t="s">
        <v>57</v>
      </c>
      <c r="I58" s="123">
        <v>19</v>
      </c>
      <c r="J58" s="31">
        <v>2000</v>
      </c>
      <c r="K58" s="12">
        <f t="shared" si="1"/>
        <v>105.26315789473684</v>
      </c>
      <c r="L58" s="123">
        <v>19</v>
      </c>
      <c r="M58" s="13">
        <f t="shared" si="39"/>
        <v>1916.0747663551399</v>
      </c>
      <c r="N58" s="13">
        <f t="shared" si="3"/>
        <v>100.84604033448105</v>
      </c>
      <c r="O58" s="14">
        <f t="shared" si="4"/>
        <v>0</v>
      </c>
      <c r="P58" s="15">
        <f t="shared" si="5"/>
        <v>-4.4171175602557895</v>
      </c>
      <c r="Q58" s="118">
        <f t="shared" si="6"/>
        <v>0.95803738317757003</v>
      </c>
      <c r="R58" s="615"/>
      <c r="S58" s="34">
        <v>0.42638888888888876</v>
      </c>
      <c r="T58" s="34">
        <v>0.50069444444444433</v>
      </c>
      <c r="U58" s="119">
        <f t="shared" si="38"/>
        <v>6.9999999999999751</v>
      </c>
      <c r="V58" s="124">
        <f t="shared" si="37"/>
        <v>107.00000000000001</v>
      </c>
      <c r="W58" s="16"/>
      <c r="X58" s="16"/>
      <c r="Y58" s="19"/>
      <c r="Z58" s="19"/>
      <c r="AA58" s="617"/>
      <c r="AB58" s="617"/>
      <c r="AC58" s="35"/>
      <c r="AD58" s="18"/>
      <c r="AE58" s="14">
        <f t="shared" si="8"/>
        <v>-83.9252336448601</v>
      </c>
      <c r="AF58" s="118">
        <f t="shared" si="9"/>
        <v>0.95803738317756992</v>
      </c>
      <c r="AG58" s="615"/>
    </row>
    <row r="59" spans="1:33" ht="15.75" customHeight="1">
      <c r="A59" s="630" t="s">
        <v>277</v>
      </c>
      <c r="B59" s="29" t="s">
        <v>15</v>
      </c>
      <c r="C59" s="622" t="s">
        <v>48</v>
      </c>
      <c r="D59" s="623"/>
      <c r="E59" s="29">
        <v>55.56</v>
      </c>
      <c r="F59" s="32">
        <v>2355</v>
      </c>
      <c r="G59" s="119">
        <f t="shared" si="35"/>
        <v>130843.8</v>
      </c>
      <c r="H59" s="33" t="s">
        <v>57</v>
      </c>
      <c r="I59" s="123">
        <v>17</v>
      </c>
      <c r="J59" s="31">
        <v>2000</v>
      </c>
      <c r="K59" s="12">
        <f t="shared" si="1"/>
        <v>117.64705882352941</v>
      </c>
      <c r="L59" s="123">
        <v>17</v>
      </c>
      <c r="M59" s="13">
        <f t="shared" si="39"/>
        <v>1909.459459459458</v>
      </c>
      <c r="N59" s="13">
        <f t="shared" si="3"/>
        <v>112.32114467408576</v>
      </c>
      <c r="O59" s="14">
        <f t="shared" si="4"/>
        <v>0</v>
      </c>
      <c r="P59" s="15">
        <f t="shared" si="5"/>
        <v>-5.3259141494436477</v>
      </c>
      <c r="Q59" s="118">
        <f t="shared" si="6"/>
        <v>0.95472972972972903</v>
      </c>
      <c r="R59" s="615"/>
      <c r="S59" s="34">
        <v>0.70833333333333337</v>
      </c>
      <c r="T59" s="34">
        <v>0.7597222222222223</v>
      </c>
      <c r="U59" s="119" t="str">
        <f t="shared" si="38"/>
        <v/>
      </c>
      <c r="V59" s="124">
        <f t="shared" si="37"/>
        <v>74.000000000000057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-90.540540540541997</v>
      </c>
      <c r="AF59" s="118">
        <f t="shared" si="9"/>
        <v>0.95472972972972903</v>
      </c>
      <c r="AG59" s="615"/>
    </row>
    <row r="60" spans="1:33" ht="15.75" customHeight="1">
      <c r="A60" s="630" t="s">
        <v>277</v>
      </c>
      <c r="B60" s="29" t="s">
        <v>15</v>
      </c>
      <c r="C60" s="622" t="s">
        <v>82</v>
      </c>
      <c r="D60" s="623"/>
      <c r="E60" s="29">
        <v>51.06</v>
      </c>
      <c r="F60" s="32">
        <v>3330</v>
      </c>
      <c r="G60" s="119">
        <f t="shared" si="35"/>
        <v>170029.80000000002</v>
      </c>
      <c r="H60" s="33" t="s">
        <v>57</v>
      </c>
      <c r="I60" s="123">
        <v>13</v>
      </c>
      <c r="J60" s="31">
        <v>2000</v>
      </c>
      <c r="K60" s="12">
        <f t="shared" si="1"/>
        <v>153.84615384615384</v>
      </c>
      <c r="L60" s="123">
        <v>13</v>
      </c>
      <c r="M60" s="13">
        <f t="shared" si="39"/>
        <v>1921.1538461538473</v>
      </c>
      <c r="N60" s="13">
        <f t="shared" si="3"/>
        <v>147.78106508875749</v>
      </c>
      <c r="O60" s="14">
        <f t="shared" si="4"/>
        <v>0</v>
      </c>
      <c r="P60" s="15">
        <f t="shared" si="5"/>
        <v>-6.065088757396353</v>
      </c>
      <c r="Q60" s="118">
        <f t="shared" si="6"/>
        <v>0.96057692307692366</v>
      </c>
      <c r="R60" s="615"/>
      <c r="S60" s="34">
        <v>0.76388888888888895</v>
      </c>
      <c r="T60" s="34">
        <v>0.83611111111111114</v>
      </c>
      <c r="U60" s="119">
        <f t="shared" si="38"/>
        <v>5.9999999999999787</v>
      </c>
      <c r="V60" s="124">
        <f t="shared" si="37"/>
        <v>103.99999999999994</v>
      </c>
      <c r="W60" s="16"/>
      <c r="X60" s="16"/>
      <c r="Y60" s="19"/>
      <c r="Z60" s="19"/>
      <c r="AA60" s="624"/>
      <c r="AB60" s="625"/>
      <c r="AC60" s="35"/>
      <c r="AD60" s="18"/>
      <c r="AE60" s="14">
        <f t="shared" si="8"/>
        <v>-78.846153846152674</v>
      </c>
      <c r="AF60" s="118">
        <f t="shared" si="9"/>
        <v>0.96057692307692366</v>
      </c>
      <c r="AG60" s="615"/>
    </row>
    <row r="61" spans="1:33">
      <c r="A61" s="631" t="s">
        <v>277</v>
      </c>
      <c r="B61" s="29" t="s">
        <v>276</v>
      </c>
      <c r="C61" s="618"/>
      <c r="D61" s="618"/>
      <c r="E61" s="120"/>
      <c r="F61" s="30"/>
      <c r="G61" s="12"/>
      <c r="H61" s="125"/>
      <c r="I61" s="23">
        <v>18.285714285714285</v>
      </c>
      <c r="J61" s="31">
        <v>2000</v>
      </c>
      <c r="K61" s="12">
        <f t="shared" si="1"/>
        <v>109.375</v>
      </c>
      <c r="L61" s="23">
        <v>18.285714285714285</v>
      </c>
      <c r="M61" s="13">
        <f>AVERAGE(M54:M60)</f>
        <v>1915.4884403459159</v>
      </c>
      <c r="N61" s="12">
        <f t="shared" si="3"/>
        <v>104.75327408141729</v>
      </c>
      <c r="O61" s="14">
        <f t="shared" si="4"/>
        <v>0</v>
      </c>
      <c r="P61" s="15">
        <f t="shared" si="5"/>
        <v>-4.6217259185827118</v>
      </c>
      <c r="Q61" s="118">
        <f t="shared" si="6"/>
        <v>0.95774422017295802</v>
      </c>
      <c r="R61" s="615"/>
      <c r="S61" s="34"/>
      <c r="T61" s="34"/>
      <c r="U61" s="119"/>
      <c r="V61" s="124"/>
      <c r="W61" s="12"/>
      <c r="X61" s="12"/>
      <c r="Y61" s="24">
        <f>SUM(Y54:Y60)</f>
        <v>0</v>
      </c>
      <c r="Z61" s="24">
        <f>SUM(Z54:Z60)</f>
        <v>0</v>
      </c>
      <c r="AA61" s="614"/>
      <c r="AB61" s="614"/>
      <c r="AC61" s="24">
        <v>7</v>
      </c>
      <c r="AD61" s="24">
        <f>SUM(AD54:AD60)</f>
        <v>0</v>
      </c>
      <c r="AE61" s="14">
        <f>M61-J61</f>
        <v>-84.511559654084067</v>
      </c>
      <c r="AF61" s="118">
        <f t="shared" si="9"/>
        <v>0.95774422017295802</v>
      </c>
      <c r="AG61" s="615"/>
    </row>
    <row r="62" spans="1:33" ht="15.75" customHeight="1">
      <c r="A62" s="626" t="s">
        <v>278</v>
      </c>
      <c r="B62" s="125" t="s">
        <v>40</v>
      </c>
      <c r="C62" s="616" t="s">
        <v>49</v>
      </c>
      <c r="D62" s="616"/>
      <c r="E62" s="29">
        <v>34.36</v>
      </c>
      <c r="F62" s="32">
        <v>2435</v>
      </c>
      <c r="G62" s="119">
        <f t="shared" ref="G62:G66" si="40">E62*F62</f>
        <v>83666.600000000006</v>
      </c>
      <c r="H62" s="33" t="s">
        <v>57</v>
      </c>
      <c r="I62" s="123">
        <v>10</v>
      </c>
      <c r="J62" s="31">
        <v>3000</v>
      </c>
      <c r="K62" s="12">
        <f t="shared" si="1"/>
        <v>300</v>
      </c>
      <c r="L62" s="123">
        <v>10</v>
      </c>
      <c r="M62" s="13">
        <f t="shared" ref="M62:M66" si="41">F62/V62*60</f>
        <v>2864.7058823529401</v>
      </c>
      <c r="N62" s="12">
        <f t="shared" si="3"/>
        <v>286.47058823529403</v>
      </c>
      <c r="O62" s="14">
        <f t="shared" si="4"/>
        <v>0</v>
      </c>
      <c r="P62" s="15">
        <f t="shared" si="5"/>
        <v>-13.529411764705969</v>
      </c>
      <c r="Q62" s="118">
        <f t="shared" si="6"/>
        <v>0.95490196078431344</v>
      </c>
      <c r="R62" s="615">
        <f>Q67</f>
        <v>0.96196475062697795</v>
      </c>
      <c r="S62" s="34">
        <v>0.20833333333333334</v>
      </c>
      <c r="T62" s="34">
        <v>0.24375000000000002</v>
      </c>
      <c r="U62" s="119"/>
      <c r="V62" s="124">
        <f t="shared" ref="V62:V66" si="42">(T62-S62)*24*60</f>
        <v>51.000000000000021</v>
      </c>
      <c r="W62" s="21"/>
      <c r="X62" s="21"/>
      <c r="Y62" s="21"/>
      <c r="Z62" s="21"/>
      <c r="AA62" s="617"/>
      <c r="AB62" s="617"/>
      <c r="AC62" s="35">
        <v>5</v>
      </c>
      <c r="AD62" s="18"/>
      <c r="AE62" s="14">
        <f t="shared" ref="AE62:AE75" si="43">M62-J62</f>
        <v>-135.29411764705992</v>
      </c>
      <c r="AF62" s="118">
        <f t="shared" si="9"/>
        <v>0.95490196078431333</v>
      </c>
      <c r="AG62" s="615">
        <f>AF67</f>
        <v>0.96196475062697817</v>
      </c>
    </row>
    <row r="63" spans="1:33" ht="15.75" customHeight="1">
      <c r="A63" s="626" t="s">
        <v>278</v>
      </c>
      <c r="B63" s="125" t="s">
        <v>40</v>
      </c>
      <c r="C63" s="616" t="s">
        <v>50</v>
      </c>
      <c r="D63" s="616"/>
      <c r="E63" s="29">
        <v>34.36</v>
      </c>
      <c r="F63" s="32">
        <v>1132</v>
      </c>
      <c r="G63" s="119">
        <f t="shared" si="40"/>
        <v>38895.519999999997</v>
      </c>
      <c r="H63" s="33" t="s">
        <v>57</v>
      </c>
      <c r="I63" s="123">
        <v>10</v>
      </c>
      <c r="J63" s="31">
        <v>3000</v>
      </c>
      <c r="K63" s="12">
        <f t="shared" si="1"/>
        <v>300</v>
      </c>
      <c r="L63" s="123">
        <v>10</v>
      </c>
      <c r="M63" s="13">
        <f t="shared" si="41"/>
        <v>2953.0434782608645</v>
      </c>
      <c r="N63" s="12">
        <f t="shared" si="3"/>
        <v>295.30434782608643</v>
      </c>
      <c r="O63" s="14">
        <f t="shared" si="4"/>
        <v>0</v>
      </c>
      <c r="P63" s="15">
        <f t="shared" si="5"/>
        <v>-4.6956521739135724</v>
      </c>
      <c r="Q63" s="118">
        <f t="shared" si="6"/>
        <v>0.98434782608695481</v>
      </c>
      <c r="R63" s="615"/>
      <c r="S63" s="34">
        <v>0.24930555555555559</v>
      </c>
      <c r="T63" s="34">
        <v>0.26527777777777783</v>
      </c>
      <c r="U63" s="119">
        <f t="shared" ref="U63:U66" si="44">(S63-T62)*24*60</f>
        <v>8.0000000000000107</v>
      </c>
      <c r="V63" s="124">
        <f t="shared" si="42"/>
        <v>23.000000000000039</v>
      </c>
      <c r="W63" s="119"/>
      <c r="X63" s="119"/>
      <c r="Y63" s="119"/>
      <c r="Z63" s="119"/>
      <c r="AA63" s="617"/>
      <c r="AB63" s="617"/>
      <c r="AC63" s="35"/>
      <c r="AD63" s="18"/>
      <c r="AE63" s="14">
        <f t="shared" si="43"/>
        <v>-46.956521739135496</v>
      </c>
      <c r="AF63" s="118">
        <f t="shared" si="9"/>
        <v>0.98434782608695481</v>
      </c>
      <c r="AG63" s="615"/>
    </row>
    <row r="64" spans="1:33" ht="15.75" customHeight="1">
      <c r="A64" s="626" t="s">
        <v>278</v>
      </c>
      <c r="B64" s="125" t="s">
        <v>40</v>
      </c>
      <c r="C64" s="616" t="s">
        <v>51</v>
      </c>
      <c r="D64" s="616"/>
      <c r="E64" s="29">
        <v>26.78</v>
      </c>
      <c r="F64" s="32">
        <v>2682</v>
      </c>
      <c r="G64" s="119">
        <f t="shared" si="40"/>
        <v>71823.960000000006</v>
      </c>
      <c r="H64" s="33" t="s">
        <v>57</v>
      </c>
      <c r="I64" s="123">
        <v>10</v>
      </c>
      <c r="J64" s="31">
        <v>3000</v>
      </c>
      <c r="K64" s="12">
        <f t="shared" si="1"/>
        <v>300</v>
      </c>
      <c r="L64" s="123">
        <v>10</v>
      </c>
      <c r="M64" s="13">
        <f t="shared" si="41"/>
        <v>2873.5714285714307</v>
      </c>
      <c r="N64" s="12">
        <f t="shared" si="3"/>
        <v>287.35714285714306</v>
      </c>
      <c r="O64" s="14">
        <f t="shared" si="4"/>
        <v>0</v>
      </c>
      <c r="P64" s="15">
        <f t="shared" si="5"/>
        <v>-12.64285714285694</v>
      </c>
      <c r="Q64" s="118">
        <f t="shared" si="6"/>
        <v>0.95785714285714352</v>
      </c>
      <c r="R64" s="615"/>
      <c r="S64" s="34">
        <v>0.26875000000000004</v>
      </c>
      <c r="T64" s="34">
        <v>0.30763888888888891</v>
      </c>
      <c r="U64" s="119">
        <f t="shared" si="44"/>
        <v>4.9999999999999822</v>
      </c>
      <c r="V64" s="124">
        <f t="shared" si="42"/>
        <v>55.999999999999957</v>
      </c>
      <c r="W64" s="119"/>
      <c r="X64" s="119"/>
      <c r="Y64" s="119"/>
      <c r="Z64" s="119"/>
      <c r="AA64" s="617"/>
      <c r="AB64" s="617"/>
      <c r="AC64" s="35"/>
      <c r="AD64" s="18"/>
      <c r="AE64" s="14">
        <f t="shared" si="43"/>
        <v>-126.42857142856928</v>
      </c>
      <c r="AF64" s="118">
        <f t="shared" si="9"/>
        <v>0.95785714285714352</v>
      </c>
      <c r="AG64" s="615"/>
    </row>
    <row r="65" spans="1:33" ht="15.75" customHeight="1">
      <c r="A65" s="626" t="s">
        <v>278</v>
      </c>
      <c r="B65" s="125" t="s">
        <v>40</v>
      </c>
      <c r="C65" s="616" t="s">
        <v>52</v>
      </c>
      <c r="D65" s="616"/>
      <c r="E65" s="29">
        <v>35.869999999999997</v>
      </c>
      <c r="F65" s="32">
        <v>4172</v>
      </c>
      <c r="G65" s="119">
        <f t="shared" si="40"/>
        <v>149649.63999999998</v>
      </c>
      <c r="H65" s="33" t="s">
        <v>57</v>
      </c>
      <c r="I65" s="123">
        <v>9</v>
      </c>
      <c r="J65" s="31">
        <v>3000</v>
      </c>
      <c r="K65" s="12">
        <f t="shared" si="1"/>
        <v>333.33333333333331</v>
      </c>
      <c r="L65" s="123">
        <v>9</v>
      </c>
      <c r="M65" s="13">
        <f t="shared" si="41"/>
        <v>2877.2413793103447</v>
      </c>
      <c r="N65" s="12">
        <f t="shared" si="3"/>
        <v>319.69348659003828</v>
      </c>
      <c r="O65" s="14">
        <f t="shared" si="4"/>
        <v>0</v>
      </c>
      <c r="P65" s="15">
        <f t="shared" si="5"/>
        <v>-13.639846743295038</v>
      </c>
      <c r="Q65" s="118">
        <f t="shared" si="6"/>
        <v>0.95908045977011491</v>
      </c>
      <c r="R65" s="615"/>
      <c r="S65" s="34">
        <v>0.31319444444444444</v>
      </c>
      <c r="T65" s="34">
        <v>0.37361111111111112</v>
      </c>
      <c r="U65" s="119">
        <f t="shared" si="44"/>
        <v>7.9999999999999716</v>
      </c>
      <c r="V65" s="124">
        <f t="shared" si="42"/>
        <v>87.000000000000014</v>
      </c>
      <c r="W65" s="119"/>
      <c r="X65" s="119"/>
      <c r="Y65" s="119"/>
      <c r="Z65" s="119"/>
      <c r="AA65" s="617"/>
      <c r="AB65" s="617"/>
      <c r="AC65" s="35"/>
      <c r="AD65" s="18"/>
      <c r="AE65" s="14">
        <f t="shared" si="43"/>
        <v>-122.75862068965534</v>
      </c>
      <c r="AF65" s="118">
        <f t="shared" si="9"/>
        <v>0.95908045977011491</v>
      </c>
      <c r="AG65" s="615"/>
    </row>
    <row r="66" spans="1:33">
      <c r="A66" s="627" t="s">
        <v>278</v>
      </c>
      <c r="B66" s="125" t="s">
        <v>40</v>
      </c>
      <c r="C66" s="616" t="s">
        <v>53</v>
      </c>
      <c r="D66" s="616"/>
      <c r="E66" s="29">
        <v>34.35</v>
      </c>
      <c r="F66" s="32">
        <v>2098</v>
      </c>
      <c r="G66" s="119">
        <f t="shared" si="40"/>
        <v>72066.3</v>
      </c>
      <c r="H66" s="33" t="s">
        <v>57</v>
      </c>
      <c r="I66" s="123">
        <v>8</v>
      </c>
      <c r="J66" s="31">
        <v>3000</v>
      </c>
      <c r="K66" s="12">
        <f t="shared" si="1"/>
        <v>375</v>
      </c>
      <c r="L66" s="123">
        <v>8</v>
      </c>
      <c r="M66" s="13">
        <f t="shared" si="41"/>
        <v>2860.909090909091</v>
      </c>
      <c r="N66" s="12">
        <f t="shared" si="3"/>
        <v>357.61363636363637</v>
      </c>
      <c r="O66" s="14">
        <f t="shared" si="4"/>
        <v>0</v>
      </c>
      <c r="P66" s="15">
        <f t="shared" si="5"/>
        <v>-17.386363636363626</v>
      </c>
      <c r="Q66" s="118">
        <f t="shared" si="6"/>
        <v>0.95363636363636362</v>
      </c>
      <c r="R66" s="615"/>
      <c r="S66" s="34">
        <v>0.37847222222222221</v>
      </c>
      <c r="T66" s="34">
        <v>0.40902777777777777</v>
      </c>
      <c r="U66" s="119">
        <f t="shared" si="44"/>
        <v>6.9999999999999751</v>
      </c>
      <c r="V66" s="124">
        <f t="shared" si="42"/>
        <v>44</v>
      </c>
      <c r="W66" s="16"/>
      <c r="X66" s="16"/>
      <c r="Y66" s="16"/>
      <c r="Z66" s="16"/>
      <c r="AA66" s="617"/>
      <c r="AB66" s="617"/>
      <c r="AC66" s="35"/>
      <c r="AD66" s="18"/>
      <c r="AE66" s="14">
        <f t="shared" si="43"/>
        <v>-139.09090909090901</v>
      </c>
      <c r="AF66" s="118">
        <f t="shared" si="9"/>
        <v>0.95363636363636362</v>
      </c>
      <c r="AG66" s="615"/>
    </row>
    <row r="67" spans="1:33">
      <c r="A67" s="627" t="s">
        <v>278</v>
      </c>
      <c r="B67" s="29" t="s">
        <v>276</v>
      </c>
      <c r="C67" s="618"/>
      <c r="D67" s="618"/>
      <c r="E67" s="120"/>
      <c r="F67" s="30"/>
      <c r="G67" s="12"/>
      <c r="H67" s="125"/>
      <c r="I67" s="23">
        <v>9.4</v>
      </c>
      <c r="J67" s="31">
        <v>3000</v>
      </c>
      <c r="K67" s="12">
        <f t="shared" si="1"/>
        <v>319.14893617021278</v>
      </c>
      <c r="L67" s="23">
        <v>9.4</v>
      </c>
      <c r="M67" s="13">
        <f>AVERAGE(M62:M66)</f>
        <v>2885.8942518809345</v>
      </c>
      <c r="N67" s="12">
        <f t="shared" si="3"/>
        <v>307.01002679584406</v>
      </c>
      <c r="O67" s="14">
        <f t="shared" si="4"/>
        <v>0</v>
      </c>
      <c r="P67" s="15">
        <f t="shared" si="5"/>
        <v>-12.138909374368723</v>
      </c>
      <c r="Q67" s="118">
        <f t="shared" si="6"/>
        <v>0.96196475062697795</v>
      </c>
      <c r="R67" s="615"/>
      <c r="S67" s="34"/>
      <c r="T67" s="34"/>
      <c r="U67" s="12"/>
      <c r="V67" s="124"/>
      <c r="W67" s="12"/>
      <c r="X67" s="12"/>
      <c r="Y67" s="24">
        <f>SUM(Y62:Y66)</f>
        <v>0</v>
      </c>
      <c r="Z67" s="24">
        <f>SUM(Z62:Z66)</f>
        <v>0</v>
      </c>
      <c r="AA67" s="614"/>
      <c r="AB67" s="614"/>
      <c r="AC67" s="24">
        <v>5</v>
      </c>
      <c r="AD67" s="24">
        <f>SUM(AD62:AD66)</f>
        <v>0</v>
      </c>
      <c r="AE67" s="14">
        <f t="shared" si="43"/>
        <v>-114.10574811906554</v>
      </c>
      <c r="AF67" s="118">
        <f t="shared" si="9"/>
        <v>0.96196475062697817</v>
      </c>
      <c r="AG67" s="615"/>
    </row>
    <row r="68" spans="1:33" ht="15.75" customHeight="1">
      <c r="A68" s="619" t="s">
        <v>279</v>
      </c>
      <c r="B68" s="125" t="s">
        <v>32</v>
      </c>
      <c r="C68" s="616" t="s">
        <v>55</v>
      </c>
      <c r="D68" s="616"/>
      <c r="E68" s="29">
        <v>22.69</v>
      </c>
      <c r="F68" s="125">
        <v>4182</v>
      </c>
      <c r="G68" s="119">
        <f t="shared" ref="G68:G74" si="45">E68*F68</f>
        <v>94889.58</v>
      </c>
      <c r="H68" s="33" t="s">
        <v>57</v>
      </c>
      <c r="I68" s="123">
        <v>15</v>
      </c>
      <c r="J68" s="31">
        <v>2400</v>
      </c>
      <c r="K68" s="12">
        <f t="shared" si="1"/>
        <v>160</v>
      </c>
      <c r="L68" s="123">
        <v>15</v>
      </c>
      <c r="M68" s="13">
        <f t="shared" ref="M68:M74" si="46">F68/V68*60</f>
        <v>2302.0183486238534</v>
      </c>
      <c r="N68" s="12">
        <f t="shared" si="3"/>
        <v>153.46788990825689</v>
      </c>
      <c r="O68" s="14">
        <f t="shared" si="4"/>
        <v>0</v>
      </c>
      <c r="P68" s="15">
        <f t="shared" si="5"/>
        <v>-6.5321100917431068</v>
      </c>
      <c r="Q68" s="118">
        <f t="shared" si="6"/>
        <v>0.95917431192660563</v>
      </c>
      <c r="R68" s="615">
        <f>Q75</f>
        <v>0.95788636059678522</v>
      </c>
      <c r="S68" s="34">
        <v>8.3333333333333329E-2</v>
      </c>
      <c r="T68" s="34">
        <v>0.15902777777777777</v>
      </c>
      <c r="U68" s="21"/>
      <c r="V68" s="124">
        <f t="shared" ref="V68:V74" si="47">(T68-S68)*24*60</f>
        <v>108.99999999999999</v>
      </c>
      <c r="W68" s="16">
        <f>T68</f>
        <v>0.15902777777777777</v>
      </c>
      <c r="X68" s="16">
        <f>S69</f>
        <v>0.17777777777777776</v>
      </c>
      <c r="Y68" s="16"/>
      <c r="Z68" s="16"/>
      <c r="AA68" s="617"/>
      <c r="AB68" s="617"/>
      <c r="AC68" s="35">
        <v>7</v>
      </c>
      <c r="AD68" s="18"/>
      <c r="AE68" s="14">
        <f t="shared" si="43"/>
        <v>-97.981651376146601</v>
      </c>
      <c r="AF68" s="118">
        <f t="shared" si="9"/>
        <v>0.95917431192660563</v>
      </c>
      <c r="AG68" s="615">
        <f>AF75</f>
        <v>0.95788636059678522</v>
      </c>
    </row>
    <row r="69" spans="1:33" ht="15.75" customHeight="1">
      <c r="A69" s="620" t="s">
        <v>279</v>
      </c>
      <c r="B69" s="125" t="s">
        <v>32</v>
      </c>
      <c r="C69" s="616" t="s">
        <v>56</v>
      </c>
      <c r="D69" s="616"/>
      <c r="E69" s="29">
        <v>19.02</v>
      </c>
      <c r="F69" s="125">
        <v>6600</v>
      </c>
      <c r="G69" s="119">
        <f t="shared" si="45"/>
        <v>125532</v>
      </c>
      <c r="H69" s="33">
        <v>2</v>
      </c>
      <c r="I69" s="123">
        <v>14</v>
      </c>
      <c r="J69" s="31">
        <v>2400</v>
      </c>
      <c r="K69" s="12">
        <f t="shared" ref="K69:K75" si="48">J69/I69</f>
        <v>171.42857142857142</v>
      </c>
      <c r="L69" s="123">
        <v>14</v>
      </c>
      <c r="M69" s="13">
        <f t="shared" si="46"/>
        <v>2289.0173410404618</v>
      </c>
      <c r="N69" s="12">
        <f t="shared" ref="N69:N75" si="49">M69/L69</f>
        <v>163.50123864574726</v>
      </c>
      <c r="O69" s="14">
        <f t="shared" ref="O69:O75" si="50">L69-I69</f>
        <v>0</v>
      </c>
      <c r="P69" s="15">
        <f t="shared" ref="P69:P75" si="51">N69-K69</f>
        <v>-7.927332782824152</v>
      </c>
      <c r="Q69" s="118">
        <f t="shared" ref="Q69:Q75" si="52">N69/K69</f>
        <v>0.95375722543352581</v>
      </c>
      <c r="R69" s="615"/>
      <c r="S69" s="34">
        <v>0.17777777777777776</v>
      </c>
      <c r="T69" s="34">
        <v>0.29791666666666666</v>
      </c>
      <c r="U69" s="119">
        <f t="shared" ref="U69:U74" si="53">(S69-T68)*24*60</f>
        <v>26.999999999999986</v>
      </c>
      <c r="V69" s="124">
        <f t="shared" si="47"/>
        <v>173.00000000000003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-110.98265895953818</v>
      </c>
      <c r="AF69" s="118">
        <f t="shared" ref="AF69:AF75" si="54">M69/J69</f>
        <v>0.9537572254335257</v>
      </c>
      <c r="AG69" s="615"/>
    </row>
    <row r="70" spans="1:33" ht="15.75" customHeight="1">
      <c r="A70" s="620" t="s">
        <v>279</v>
      </c>
      <c r="B70" s="125" t="s">
        <v>32</v>
      </c>
      <c r="C70" s="616" t="s">
        <v>54</v>
      </c>
      <c r="D70" s="616"/>
      <c r="E70" s="29">
        <v>20.21</v>
      </c>
      <c r="F70" s="125">
        <v>3581</v>
      </c>
      <c r="G70" s="119">
        <f t="shared" si="45"/>
        <v>72372.010000000009</v>
      </c>
      <c r="H70" s="33" t="s">
        <v>57</v>
      </c>
      <c r="I70" s="123">
        <v>15</v>
      </c>
      <c r="J70" s="31">
        <v>2400</v>
      </c>
      <c r="K70" s="12">
        <f t="shared" si="48"/>
        <v>160</v>
      </c>
      <c r="L70" s="123">
        <v>15</v>
      </c>
      <c r="M70" s="13">
        <f t="shared" si="46"/>
        <v>2285.744680851064</v>
      </c>
      <c r="N70" s="12">
        <f t="shared" si="49"/>
        <v>152.38297872340428</v>
      </c>
      <c r="O70" s="14">
        <f t="shared" si="50"/>
        <v>0</v>
      </c>
      <c r="P70" s="15">
        <f t="shared" si="51"/>
        <v>-7.6170212765957217</v>
      </c>
      <c r="Q70" s="118">
        <f t="shared" si="52"/>
        <v>0.95239361702127678</v>
      </c>
      <c r="R70" s="615"/>
      <c r="S70" s="34">
        <v>0.30208333333333331</v>
      </c>
      <c r="T70" s="34">
        <v>0.36736111111111108</v>
      </c>
      <c r="U70" s="119">
        <f t="shared" si="53"/>
        <v>5.9999999999999787</v>
      </c>
      <c r="V70" s="124">
        <f t="shared" si="47"/>
        <v>93.999999999999986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-114.255319148936</v>
      </c>
      <c r="AF70" s="118">
        <f t="shared" si="54"/>
        <v>0.95239361702127667</v>
      </c>
      <c r="AG70" s="615"/>
    </row>
    <row r="71" spans="1:33" ht="15.75" customHeight="1">
      <c r="A71" s="620" t="s">
        <v>279</v>
      </c>
      <c r="B71" s="125" t="s">
        <v>32</v>
      </c>
      <c r="C71" s="616" t="s">
        <v>84</v>
      </c>
      <c r="D71" s="616"/>
      <c r="E71" s="29">
        <v>20.21</v>
      </c>
      <c r="F71" s="125">
        <v>2700</v>
      </c>
      <c r="G71" s="119">
        <f t="shared" si="45"/>
        <v>54567</v>
      </c>
      <c r="H71" s="33">
        <v>2</v>
      </c>
      <c r="I71" s="123">
        <v>18</v>
      </c>
      <c r="J71" s="31">
        <v>2400</v>
      </c>
      <c r="K71" s="12">
        <f t="shared" si="48"/>
        <v>133.33333333333334</v>
      </c>
      <c r="L71" s="123">
        <v>18</v>
      </c>
      <c r="M71" s="13">
        <f t="shared" si="46"/>
        <v>2314.2857142857147</v>
      </c>
      <c r="N71" s="12">
        <f t="shared" si="49"/>
        <v>128.57142857142858</v>
      </c>
      <c r="O71" s="14">
        <f t="shared" si="50"/>
        <v>0</v>
      </c>
      <c r="P71" s="15">
        <f t="shared" si="51"/>
        <v>-4.7619047619047592</v>
      </c>
      <c r="Q71" s="118">
        <f t="shared" si="52"/>
        <v>0.9642857142857143</v>
      </c>
      <c r="R71" s="615"/>
      <c r="S71" s="34">
        <v>0.37083333333333329</v>
      </c>
      <c r="T71" s="34">
        <v>0.4194444444444444</v>
      </c>
      <c r="U71" s="119">
        <f t="shared" si="53"/>
        <v>4.9999999999999822</v>
      </c>
      <c r="V71" s="124">
        <f t="shared" si="47"/>
        <v>69.999999999999986</v>
      </c>
      <c r="W71" s="16"/>
      <c r="X71" s="16"/>
      <c r="Y71" s="16"/>
      <c r="Z71" s="16"/>
      <c r="AA71" s="617"/>
      <c r="AB71" s="617"/>
      <c r="AC71" s="35"/>
      <c r="AD71" s="18"/>
      <c r="AE71" s="14">
        <f t="shared" si="43"/>
        <v>-85.714285714285325</v>
      </c>
      <c r="AF71" s="118">
        <f t="shared" si="54"/>
        <v>0.96428571428571441</v>
      </c>
      <c r="AG71" s="615"/>
    </row>
    <row r="72" spans="1:33" ht="15.75" customHeight="1">
      <c r="A72" s="620" t="s">
        <v>279</v>
      </c>
      <c r="B72" s="125" t="s">
        <v>32</v>
      </c>
      <c r="C72" s="616" t="s">
        <v>36</v>
      </c>
      <c r="D72" s="616"/>
      <c r="E72" s="29">
        <v>20.36</v>
      </c>
      <c r="F72" s="125">
        <v>5274</v>
      </c>
      <c r="G72" s="119">
        <f t="shared" si="45"/>
        <v>107378.64</v>
      </c>
      <c r="H72" s="33" t="s">
        <v>57</v>
      </c>
      <c r="I72" s="123">
        <v>17</v>
      </c>
      <c r="J72" s="31">
        <v>2400</v>
      </c>
      <c r="K72" s="12">
        <f t="shared" si="48"/>
        <v>141.1764705882353</v>
      </c>
      <c r="L72" s="123">
        <v>17</v>
      </c>
      <c r="M72" s="13">
        <f t="shared" si="46"/>
        <v>2293.0434782608695</v>
      </c>
      <c r="N72" s="12">
        <f t="shared" si="49"/>
        <v>134.88491048593349</v>
      </c>
      <c r="O72" s="14">
        <f t="shared" si="50"/>
        <v>0</v>
      </c>
      <c r="P72" s="15">
        <f t="shared" si="51"/>
        <v>-6.2915601023018155</v>
      </c>
      <c r="Q72" s="118">
        <f t="shared" si="52"/>
        <v>0.95543478260869552</v>
      </c>
      <c r="R72" s="615"/>
      <c r="S72" s="34">
        <v>0.42361111111111105</v>
      </c>
      <c r="T72" s="34">
        <v>0.51944444444444438</v>
      </c>
      <c r="U72" s="119">
        <f t="shared" si="53"/>
        <v>5.9999999999999787</v>
      </c>
      <c r="V72" s="124">
        <f t="shared" si="47"/>
        <v>138</v>
      </c>
      <c r="W72" s="16">
        <f>T72</f>
        <v>0.51944444444444438</v>
      </c>
      <c r="X72" s="16">
        <f>S73</f>
        <v>0.55902777777777768</v>
      </c>
      <c r="Y72" s="16"/>
      <c r="Z72" s="16"/>
      <c r="AA72" s="617"/>
      <c r="AB72" s="617"/>
      <c r="AC72" s="35"/>
      <c r="AD72" s="18"/>
      <c r="AE72" s="14">
        <f t="shared" si="43"/>
        <v>-106.95652173913049</v>
      </c>
      <c r="AF72" s="118">
        <f t="shared" si="54"/>
        <v>0.95543478260869563</v>
      </c>
      <c r="AG72" s="615"/>
    </row>
    <row r="73" spans="1:33" ht="15.75" customHeight="1">
      <c r="A73" s="620" t="s">
        <v>279</v>
      </c>
      <c r="B73" s="125" t="s">
        <v>32</v>
      </c>
      <c r="C73" s="616" t="s">
        <v>56</v>
      </c>
      <c r="D73" s="616"/>
      <c r="E73" s="29">
        <v>19.02</v>
      </c>
      <c r="F73" s="125">
        <v>5313</v>
      </c>
      <c r="G73" s="119">
        <f t="shared" si="45"/>
        <v>101053.26</v>
      </c>
      <c r="H73" s="33" t="s">
        <v>57</v>
      </c>
      <c r="I73" s="123">
        <v>14</v>
      </c>
      <c r="J73" s="31">
        <v>2400</v>
      </c>
      <c r="K73" s="12">
        <f t="shared" si="48"/>
        <v>171.42857142857142</v>
      </c>
      <c r="L73" s="123">
        <v>14</v>
      </c>
      <c r="M73" s="13">
        <f t="shared" si="46"/>
        <v>2293.3812949640287</v>
      </c>
      <c r="N73" s="12">
        <f t="shared" si="49"/>
        <v>163.81294964028777</v>
      </c>
      <c r="O73" s="14">
        <f t="shared" si="50"/>
        <v>0</v>
      </c>
      <c r="P73" s="15">
        <f t="shared" si="51"/>
        <v>-7.6156217882836472</v>
      </c>
      <c r="Q73" s="118">
        <f t="shared" si="52"/>
        <v>0.9555755395683454</v>
      </c>
      <c r="R73" s="615"/>
      <c r="S73" s="34">
        <v>0.55902777777777768</v>
      </c>
      <c r="T73" s="34">
        <v>0.65555555555555545</v>
      </c>
      <c r="U73" s="119">
        <f t="shared" si="53"/>
        <v>56.999999999999957</v>
      </c>
      <c r="V73" s="124">
        <f t="shared" si="47"/>
        <v>139</v>
      </c>
      <c r="W73" s="16"/>
      <c r="X73" s="16"/>
      <c r="Y73" s="16"/>
      <c r="Z73" s="16"/>
      <c r="AA73" s="617"/>
      <c r="AB73" s="617"/>
      <c r="AC73" s="35"/>
      <c r="AD73" s="18"/>
      <c r="AE73" s="14">
        <f t="shared" si="43"/>
        <v>-106.61870503597129</v>
      </c>
      <c r="AF73" s="118">
        <f t="shared" si="54"/>
        <v>0.95557553956834529</v>
      </c>
      <c r="AG73" s="615"/>
    </row>
    <row r="74" spans="1:33" ht="15.75" customHeight="1">
      <c r="A74" s="620" t="s">
        <v>279</v>
      </c>
      <c r="B74" s="125" t="s">
        <v>32</v>
      </c>
      <c r="C74" s="622" t="s">
        <v>84</v>
      </c>
      <c r="D74" s="623"/>
      <c r="E74" s="29">
        <v>20.21</v>
      </c>
      <c r="F74" s="125">
        <v>1852</v>
      </c>
      <c r="G74" s="119">
        <f t="shared" si="45"/>
        <v>37428.92</v>
      </c>
      <c r="H74" s="33" t="s">
        <v>57</v>
      </c>
      <c r="I74" s="123">
        <v>18</v>
      </c>
      <c r="J74" s="31">
        <v>2400</v>
      </c>
      <c r="K74" s="12">
        <f t="shared" si="48"/>
        <v>133.33333333333334</v>
      </c>
      <c r="L74" s="123">
        <v>18</v>
      </c>
      <c r="M74" s="13">
        <f t="shared" si="46"/>
        <v>2315.0000000000005</v>
      </c>
      <c r="N74" s="12">
        <f t="shared" si="49"/>
        <v>128.61111111111114</v>
      </c>
      <c r="O74" s="14">
        <f t="shared" si="50"/>
        <v>0</v>
      </c>
      <c r="P74" s="15">
        <f t="shared" si="51"/>
        <v>-4.7222222222222001</v>
      </c>
      <c r="Q74" s="118">
        <f t="shared" si="52"/>
        <v>0.96458333333333346</v>
      </c>
      <c r="R74" s="615"/>
      <c r="S74" s="34">
        <v>0.65902777777777766</v>
      </c>
      <c r="T74" s="34">
        <v>0.69236111111111098</v>
      </c>
      <c r="U74" s="119">
        <f t="shared" si="53"/>
        <v>4.9999999999999822</v>
      </c>
      <c r="V74" s="124">
        <f t="shared" si="47"/>
        <v>47.999999999999986</v>
      </c>
      <c r="W74" s="16"/>
      <c r="X74" s="16"/>
      <c r="Y74" s="19"/>
      <c r="Z74" s="19"/>
      <c r="AA74" s="624"/>
      <c r="AB74" s="625"/>
      <c r="AC74" s="35"/>
      <c r="AD74" s="18"/>
      <c r="AE74" s="14">
        <f t="shared" si="43"/>
        <v>-84.999999999999545</v>
      </c>
      <c r="AF74" s="118">
        <f t="shared" si="54"/>
        <v>0.96458333333333357</v>
      </c>
      <c r="AG74" s="615"/>
    </row>
    <row r="75" spans="1:33" ht="16.5" customHeight="1">
      <c r="A75" s="621" t="s">
        <v>279</v>
      </c>
      <c r="B75" s="29" t="s">
        <v>276</v>
      </c>
      <c r="C75" s="612"/>
      <c r="D75" s="613"/>
      <c r="E75" s="120"/>
      <c r="F75" s="30"/>
      <c r="G75" s="12"/>
      <c r="H75" s="125"/>
      <c r="I75" s="23">
        <v>15.857142857142858</v>
      </c>
      <c r="J75" s="31">
        <v>2400</v>
      </c>
      <c r="K75" s="12">
        <f t="shared" si="48"/>
        <v>151.35135135135135</v>
      </c>
      <c r="L75" s="23">
        <v>15.857142857142858</v>
      </c>
      <c r="M75" s="13">
        <f>AVERAGE(M68:M74)</f>
        <v>2298.9272654322845</v>
      </c>
      <c r="N75" s="12">
        <f t="shared" si="49"/>
        <v>144.97739511735128</v>
      </c>
      <c r="O75" s="14">
        <f t="shared" si="50"/>
        <v>0</v>
      </c>
      <c r="P75" s="15">
        <f t="shared" si="51"/>
        <v>-6.3739562340000759</v>
      </c>
      <c r="Q75" s="118">
        <f t="shared" si="52"/>
        <v>0.95788636059678522</v>
      </c>
      <c r="R75" s="615"/>
      <c r="S75" s="34"/>
      <c r="T75" s="34"/>
      <c r="U75" s="12"/>
      <c r="V75" s="124"/>
      <c r="W75" s="12"/>
      <c r="X75" s="12"/>
      <c r="Y75" s="24">
        <f>SUM(Y68:Y74)</f>
        <v>0</v>
      </c>
      <c r="Z75" s="24">
        <f>SUM(Z68:Z74)</f>
        <v>0</v>
      </c>
      <c r="AA75" s="614"/>
      <c r="AB75" s="614"/>
      <c r="AC75" s="24">
        <v>7</v>
      </c>
      <c r="AD75" s="24">
        <f>SUM(AD68:AD74)</f>
        <v>0</v>
      </c>
      <c r="AE75" s="14">
        <f t="shared" si="43"/>
        <v>-101.07273456771554</v>
      </c>
      <c r="AF75" s="118">
        <f t="shared" si="54"/>
        <v>0.95788636059678522</v>
      </c>
      <c r="AG75" s="615"/>
    </row>
    <row r="76" spans="1:33">
      <c r="B76" s="96"/>
      <c r="C76" s="96"/>
      <c r="D76" s="142"/>
      <c r="E76" s="142"/>
      <c r="F76" s="96"/>
    </row>
    <row r="77" spans="1:33">
      <c r="B77" s="96"/>
      <c r="C77" s="96"/>
      <c r="D77" s="96"/>
      <c r="E77" s="96"/>
      <c r="F77" s="96"/>
    </row>
    <row r="78" spans="1:33">
      <c r="B78" s="96"/>
      <c r="C78" s="96"/>
      <c r="D78" s="96"/>
      <c r="E78" s="96"/>
      <c r="F78" s="96"/>
    </row>
    <row r="79" spans="1:33">
      <c r="B79" s="96"/>
      <c r="C79" s="96"/>
      <c r="D79" s="96"/>
      <c r="E79" s="96"/>
      <c r="F79" s="96"/>
    </row>
    <row r="80" spans="1:33">
      <c r="B80" s="96"/>
      <c r="C80" s="96"/>
      <c r="D80" s="96"/>
      <c r="E80" s="96"/>
      <c r="F80" s="96"/>
    </row>
    <row r="81" spans="2:6">
      <c r="B81" s="96"/>
      <c r="C81" s="96"/>
      <c r="D81" s="96"/>
      <c r="E81" s="96"/>
      <c r="F81" s="96"/>
    </row>
    <row r="82" spans="2:6">
      <c r="B82" s="96"/>
      <c r="C82" s="96"/>
      <c r="D82" s="96"/>
      <c r="E82" s="96"/>
      <c r="F82" s="96"/>
    </row>
    <row r="83" spans="2:6">
      <c r="B83" s="96"/>
      <c r="C83" s="96"/>
      <c r="D83" s="96"/>
      <c r="E83" s="96"/>
      <c r="F83" s="96"/>
    </row>
    <row r="84" spans="2:6">
      <c r="B84" s="96"/>
      <c r="C84" s="96"/>
      <c r="D84" s="96"/>
      <c r="E84" s="96"/>
      <c r="F84" s="96"/>
    </row>
    <row r="85" spans="2:6">
      <c r="B85" s="96"/>
      <c r="C85" s="96"/>
      <c r="D85" s="96"/>
      <c r="E85" s="96"/>
      <c r="F85" s="96"/>
    </row>
    <row r="86" spans="2:6">
      <c r="B86" s="96"/>
      <c r="C86" s="96"/>
      <c r="D86" s="96"/>
      <c r="E86" s="96"/>
      <c r="F86" s="96"/>
    </row>
    <row r="87" spans="2:6">
      <c r="B87" s="96"/>
      <c r="C87" s="96"/>
      <c r="D87" s="96"/>
      <c r="E87" s="96"/>
      <c r="F87" s="96"/>
    </row>
    <row r="88" spans="2:6">
      <c r="B88" s="96"/>
      <c r="C88" s="96"/>
      <c r="D88" s="96"/>
      <c r="E88" s="96"/>
      <c r="F88" s="96"/>
    </row>
    <row r="89" spans="2:6">
      <c r="B89" s="96"/>
      <c r="C89" s="96"/>
      <c r="D89" s="96"/>
      <c r="E89" s="96"/>
      <c r="F89" s="96"/>
    </row>
    <row r="90" spans="2:6">
      <c r="B90" s="96"/>
      <c r="C90" s="96"/>
      <c r="D90" s="96"/>
      <c r="E90" s="96"/>
      <c r="F90" s="96"/>
    </row>
    <row r="91" spans="2:6">
      <c r="B91" s="96"/>
      <c r="C91" s="96"/>
      <c r="D91" s="96"/>
      <c r="E91" s="96"/>
      <c r="F91" s="96"/>
    </row>
    <row r="92" spans="2:6">
      <c r="B92" s="96"/>
      <c r="C92" s="96"/>
      <c r="D92" s="96"/>
      <c r="E92" s="96"/>
      <c r="F92" s="96"/>
    </row>
    <row r="93" spans="2:6">
      <c r="B93" s="96"/>
      <c r="C93" s="96"/>
      <c r="D93" s="96"/>
      <c r="E93" s="96"/>
      <c r="F93" s="96"/>
    </row>
    <row r="94" spans="2:6">
      <c r="B94" s="96"/>
      <c r="C94" s="96"/>
      <c r="D94" s="96"/>
      <c r="E94" s="96"/>
      <c r="F94" s="96"/>
    </row>
    <row r="95" spans="2:6">
      <c r="B95" s="96"/>
      <c r="C95" s="96"/>
      <c r="D95" s="96"/>
      <c r="E95" s="96"/>
      <c r="F95" s="96"/>
    </row>
    <row r="96" spans="2:6">
      <c r="B96" s="96"/>
      <c r="C96" s="96"/>
      <c r="D96" s="96"/>
      <c r="E96" s="96"/>
      <c r="F96" s="96"/>
    </row>
    <row r="97" spans="2:6">
      <c r="B97" s="96"/>
      <c r="C97" s="96"/>
      <c r="D97" s="96"/>
      <c r="E97" s="96"/>
      <c r="F97" s="96"/>
    </row>
    <row r="98" spans="2:6">
      <c r="B98" s="96"/>
      <c r="C98" s="96"/>
      <c r="D98" s="96"/>
      <c r="E98" s="96"/>
      <c r="F98" s="96"/>
    </row>
    <row r="99" spans="2:6">
      <c r="B99" s="96"/>
      <c r="C99" s="96"/>
      <c r="D99" s="96"/>
      <c r="E99" s="96"/>
      <c r="F99" s="96"/>
    </row>
    <row r="100" spans="2:6">
      <c r="B100" s="96"/>
      <c r="C100" s="96"/>
      <c r="D100" s="96"/>
      <c r="E100" s="96"/>
      <c r="F100" s="96"/>
    </row>
    <row r="101" spans="2:6">
      <c r="B101" s="96"/>
      <c r="C101" s="96"/>
      <c r="D101" s="96"/>
      <c r="E101" s="96"/>
      <c r="F101" s="96"/>
    </row>
    <row r="102" spans="2:6">
      <c r="B102" s="96"/>
      <c r="C102" s="96"/>
      <c r="D102" s="96"/>
      <c r="E102" s="96"/>
      <c r="F102" s="96"/>
    </row>
    <row r="103" spans="2:6">
      <c r="B103" s="96"/>
      <c r="C103" s="96"/>
      <c r="D103" s="96"/>
      <c r="E103" s="96"/>
      <c r="F103" s="96"/>
    </row>
    <row r="104" spans="2:6">
      <c r="B104" s="96"/>
      <c r="C104" s="96"/>
      <c r="D104" s="96"/>
      <c r="E104" s="96"/>
      <c r="F104" s="96"/>
    </row>
    <row r="105" spans="2:6">
      <c r="B105" s="96"/>
      <c r="C105" s="96"/>
      <c r="D105" s="96"/>
      <c r="E105" s="96"/>
      <c r="F105" s="96"/>
    </row>
    <row r="106" spans="2:6">
      <c r="B106" s="96"/>
      <c r="C106" s="96"/>
      <c r="D106" s="96"/>
      <c r="E106" s="96"/>
      <c r="F106" s="96"/>
    </row>
    <row r="107" spans="2:6">
      <c r="B107" s="96"/>
      <c r="C107" s="96"/>
      <c r="D107" s="96"/>
      <c r="E107" s="96"/>
      <c r="F107" s="96"/>
    </row>
    <row r="108" spans="2:6">
      <c r="B108" s="96"/>
      <c r="C108" s="96"/>
      <c r="D108" s="96"/>
      <c r="E108" s="96"/>
      <c r="F108" s="96"/>
    </row>
    <row r="109" spans="2:6">
      <c r="B109" s="96"/>
      <c r="C109" s="96"/>
      <c r="D109" s="96"/>
      <c r="E109" s="96"/>
      <c r="F109" s="96"/>
    </row>
    <row r="110" spans="2:6">
      <c r="B110" s="96"/>
      <c r="C110" s="96"/>
      <c r="D110" s="96"/>
      <c r="E110" s="96"/>
      <c r="F110" s="96"/>
    </row>
    <row r="111" spans="2:6">
      <c r="B111" s="96"/>
      <c r="C111" s="96"/>
      <c r="D111" s="96"/>
      <c r="E111" s="96"/>
      <c r="F111" s="96"/>
    </row>
    <row r="112" spans="2:6">
      <c r="B112" s="96"/>
      <c r="C112" s="96"/>
      <c r="D112" s="96"/>
      <c r="E112" s="96"/>
      <c r="F112" s="96"/>
    </row>
    <row r="113" spans="2:6">
      <c r="B113" s="96"/>
      <c r="C113" s="96"/>
      <c r="D113" s="96"/>
      <c r="E113" s="96"/>
      <c r="F113" s="96"/>
    </row>
    <row r="114" spans="2:6">
      <c r="B114" s="96"/>
      <c r="C114" s="96"/>
      <c r="D114" s="96"/>
      <c r="E114" s="96"/>
      <c r="F114" s="96"/>
    </row>
    <row r="115" spans="2:6">
      <c r="B115" s="96"/>
      <c r="C115" s="96"/>
      <c r="D115" s="96"/>
      <c r="E115" s="96"/>
      <c r="F115" s="96"/>
    </row>
    <row r="116" spans="2:6">
      <c r="B116" s="96"/>
      <c r="C116" s="96"/>
      <c r="D116" s="96"/>
      <c r="E116" s="96"/>
      <c r="F116" s="96"/>
    </row>
    <row r="117" spans="2:6">
      <c r="B117" s="96"/>
      <c r="C117" s="96"/>
      <c r="D117" s="96"/>
      <c r="E117" s="96"/>
      <c r="F117" s="96"/>
    </row>
    <row r="118" spans="2:6">
      <c r="B118" s="96"/>
      <c r="C118" s="96"/>
      <c r="D118" s="96"/>
      <c r="E118" s="96"/>
      <c r="F118" s="96"/>
    </row>
    <row r="119" spans="2:6">
      <c r="B119" s="96"/>
      <c r="C119" s="96"/>
      <c r="D119" s="96"/>
      <c r="E119" s="96"/>
      <c r="F119" s="96"/>
    </row>
    <row r="120" spans="2:6">
      <c r="B120" s="96"/>
      <c r="C120" s="96"/>
      <c r="D120" s="96"/>
      <c r="E120" s="96"/>
      <c r="F120" s="96"/>
    </row>
    <row r="121" spans="2:6">
      <c r="B121" s="96"/>
      <c r="C121" s="96"/>
      <c r="D121" s="96"/>
      <c r="E121" s="96"/>
      <c r="F121" s="96"/>
    </row>
    <row r="122" spans="2:6">
      <c r="B122" s="96"/>
      <c r="C122" s="96"/>
      <c r="D122" s="96"/>
      <c r="E122" s="96"/>
      <c r="F122" s="96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3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3:D23"/>
    <mergeCell ref="AA23:AB23"/>
    <mergeCell ref="A24:A31"/>
    <mergeCell ref="C24:D24"/>
    <mergeCell ref="R24:R31"/>
    <mergeCell ref="AA24:AB24"/>
    <mergeCell ref="AA29:AB29"/>
    <mergeCell ref="A15:A23"/>
    <mergeCell ref="C15:D15"/>
    <mergeCell ref="R15:R23"/>
    <mergeCell ref="AA15:AB15"/>
    <mergeCell ref="AG24:AG31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0:D30"/>
    <mergeCell ref="AA30:AB30"/>
    <mergeCell ref="C31:D31"/>
    <mergeCell ref="AA31:AB31"/>
    <mergeCell ref="A32:A39"/>
    <mergeCell ref="C32:D32"/>
    <mergeCell ref="R32:R39"/>
    <mergeCell ref="AA32:AB32"/>
    <mergeCell ref="AA37:AB37"/>
    <mergeCell ref="C38:D38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8:AB38"/>
    <mergeCell ref="C39:D39"/>
    <mergeCell ref="AA39:AB39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40:A48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G62:AG67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C67:D67"/>
    <mergeCell ref="AA67:AB67"/>
    <mergeCell ref="A68:A75"/>
    <mergeCell ref="C68:D68"/>
    <mergeCell ref="R68:R75"/>
    <mergeCell ref="AA68:AB68"/>
    <mergeCell ref="AA73:AB73"/>
    <mergeCell ref="A62:A67"/>
    <mergeCell ref="C62:D62"/>
    <mergeCell ref="R62:R67"/>
    <mergeCell ref="AA62:AB62"/>
    <mergeCell ref="C74:D74"/>
    <mergeCell ref="AA74:AB74"/>
    <mergeCell ref="C75:D75"/>
    <mergeCell ref="AA75:AB75"/>
    <mergeCell ref="AG68:AG75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</mergeCells>
  <phoneticPr fontId="3" type="noConversion"/>
  <conditionalFormatting sqref="O65:O73 O61:O62 O75 O5:O9 O14:O16 O23:O59">
    <cfRule type="cellIs" dxfId="192" priority="58" operator="greaterThan">
      <formula>0</formula>
    </cfRule>
  </conditionalFormatting>
  <conditionalFormatting sqref="P5:P7 P65:P66 AE65:AE66 P68:P73 P32:P38 P62 P9 P14:P16 P24:P30 P54:P59 P40:P52 AE5:AE62 AE68:AE75">
    <cfRule type="cellIs" dxfId="191" priority="62" operator="lessThan">
      <formula>0</formula>
    </cfRule>
  </conditionalFormatting>
  <conditionalFormatting sqref="AF65:AF66 Q65:Q73 Q61:Q62 Q75 Q5:Q9 Q14:Q16 Q23:Q59 AF5:AF62 AF68:AF75">
    <cfRule type="cellIs" dxfId="190" priority="59" operator="greaterThan">
      <formula>1</formula>
    </cfRule>
    <cfRule type="cellIs" dxfId="189" priority="60" operator="lessThan">
      <formula>0.8</formula>
    </cfRule>
  </conditionalFormatting>
  <conditionalFormatting sqref="AG15:AG16 R15:R16 AG65 R65:R73 R23:R29 AG23:AG29 AG61:AG62 R61:R62 R75 AG5:AG9 R5:R9 R31:R59 AG31:AG59">
    <cfRule type="cellIs" dxfId="188" priority="64" operator="lessThan">
      <formula>0.8</formula>
    </cfRule>
  </conditionalFormatting>
  <conditionalFormatting sqref="AG49">
    <cfRule type="cellIs" dxfId="187" priority="66" operator="lessThan">
      <formula>0.8</formula>
    </cfRule>
  </conditionalFormatting>
  <conditionalFormatting sqref="AG24:AG29">
    <cfRule type="cellIs" dxfId="186" priority="63" operator="lessThan">
      <formula>0.8</formula>
    </cfRule>
  </conditionalFormatting>
  <conditionalFormatting sqref="AG32">
    <cfRule type="cellIs" dxfId="185" priority="65" operator="lessThan">
      <formula>0.8</formula>
    </cfRule>
  </conditionalFormatting>
  <conditionalFormatting sqref="AG40:AG47">
    <cfRule type="cellIs" dxfId="184" priority="61" operator="lessThan">
      <formula>0.8</formula>
    </cfRule>
  </conditionalFormatting>
  <conditionalFormatting sqref="AE67">
    <cfRule type="cellIs" dxfId="183" priority="57" operator="lessThan">
      <formula>0</formula>
    </cfRule>
  </conditionalFormatting>
  <conditionalFormatting sqref="AF67">
    <cfRule type="cellIs" dxfId="182" priority="55" operator="greaterThan">
      <formula>1</formula>
    </cfRule>
    <cfRule type="cellIs" dxfId="181" priority="56" operator="lessThan">
      <formula>0.8</formula>
    </cfRule>
  </conditionalFormatting>
  <conditionalFormatting sqref="O17:O18">
    <cfRule type="cellIs" dxfId="180" priority="50" operator="greaterThan">
      <formula>0</formula>
    </cfRule>
  </conditionalFormatting>
  <conditionalFormatting sqref="P17:P18">
    <cfRule type="cellIs" dxfId="179" priority="53" operator="lessThan">
      <formula>0</formula>
    </cfRule>
  </conditionalFormatting>
  <conditionalFormatting sqref="Q17:Q18">
    <cfRule type="cellIs" dxfId="178" priority="51" operator="greaterThan">
      <formula>1</formula>
    </cfRule>
    <cfRule type="cellIs" dxfId="177" priority="52" operator="lessThan">
      <formula>0.8</formula>
    </cfRule>
  </conditionalFormatting>
  <conditionalFormatting sqref="R17:R18 AG17:AG18">
    <cfRule type="cellIs" dxfId="176" priority="54" operator="lessThan">
      <formula>0.8</formula>
    </cfRule>
  </conditionalFormatting>
  <conditionalFormatting sqref="O10:O13">
    <cfRule type="cellIs" dxfId="175" priority="46" operator="greaterThan">
      <formula>0</formula>
    </cfRule>
  </conditionalFormatting>
  <conditionalFormatting sqref="P10:P13">
    <cfRule type="cellIs" dxfId="174" priority="49" operator="lessThan">
      <formula>0</formula>
    </cfRule>
  </conditionalFormatting>
  <conditionalFormatting sqref="Q10:Q13">
    <cfRule type="cellIs" dxfId="173" priority="47" operator="greaterThan">
      <formula>1</formula>
    </cfRule>
    <cfRule type="cellIs" dxfId="172" priority="48" operator="lessThan">
      <formula>0.8</formula>
    </cfRule>
  </conditionalFormatting>
  <conditionalFormatting sqref="O60">
    <cfRule type="cellIs" dxfId="171" priority="41" operator="greaterThan">
      <formula>0</formula>
    </cfRule>
  </conditionalFormatting>
  <conditionalFormatting sqref="P60">
    <cfRule type="cellIs" dxfId="170" priority="44" operator="lessThan">
      <formula>0</formula>
    </cfRule>
  </conditionalFormatting>
  <conditionalFormatting sqref="Q60">
    <cfRule type="cellIs" dxfId="169" priority="42" operator="greaterThan">
      <formula>1</formula>
    </cfRule>
    <cfRule type="cellIs" dxfId="168" priority="43" operator="lessThan">
      <formula>0.8</formula>
    </cfRule>
  </conditionalFormatting>
  <conditionalFormatting sqref="R60 AG60">
    <cfRule type="cellIs" dxfId="167" priority="45" operator="lessThan">
      <formula>0.8</formula>
    </cfRule>
  </conditionalFormatting>
  <conditionalFormatting sqref="O64">
    <cfRule type="cellIs" dxfId="166" priority="36" operator="greaterThan">
      <formula>0</formula>
    </cfRule>
  </conditionalFormatting>
  <conditionalFormatting sqref="P64 AE64">
    <cfRule type="cellIs" dxfId="165" priority="39" operator="lessThan">
      <formula>0</formula>
    </cfRule>
  </conditionalFormatting>
  <conditionalFormatting sqref="Q64 AF64">
    <cfRule type="cellIs" dxfId="164" priority="37" operator="greaterThan">
      <formula>1</formula>
    </cfRule>
    <cfRule type="cellIs" dxfId="163" priority="38" operator="lessThan">
      <formula>0.8</formula>
    </cfRule>
  </conditionalFormatting>
  <conditionalFormatting sqref="R64 AG64">
    <cfRule type="cellIs" dxfId="162" priority="40" operator="lessThan">
      <formula>0.8</formula>
    </cfRule>
  </conditionalFormatting>
  <conditionalFormatting sqref="O74">
    <cfRule type="cellIs" dxfId="161" priority="31" operator="greaterThan">
      <formula>0</formula>
    </cfRule>
  </conditionalFormatting>
  <conditionalFormatting sqref="P74">
    <cfRule type="cellIs" dxfId="160" priority="34" operator="lessThan">
      <formula>0</formula>
    </cfRule>
  </conditionalFormatting>
  <conditionalFormatting sqref="Q74">
    <cfRule type="cellIs" dxfId="159" priority="32" operator="greaterThan">
      <formula>1</formula>
    </cfRule>
    <cfRule type="cellIs" dxfId="158" priority="33" operator="lessThan">
      <formula>0.8</formula>
    </cfRule>
  </conditionalFormatting>
  <conditionalFormatting sqref="R74">
    <cfRule type="cellIs" dxfId="157" priority="35" operator="lessThan">
      <formula>0.8</formula>
    </cfRule>
  </conditionalFormatting>
  <conditionalFormatting sqref="O19:O20">
    <cfRule type="cellIs" dxfId="156" priority="26" operator="greaterThan">
      <formula>0</formula>
    </cfRule>
  </conditionalFormatting>
  <conditionalFormatting sqref="P19:P20">
    <cfRule type="cellIs" dxfId="155" priority="29" operator="lessThan">
      <formula>0</formula>
    </cfRule>
  </conditionalFormatting>
  <conditionalFormatting sqref="Q19:Q20">
    <cfRule type="cellIs" dxfId="154" priority="27" operator="greaterThan">
      <formula>1</formula>
    </cfRule>
    <cfRule type="cellIs" dxfId="153" priority="28" operator="lessThan">
      <formula>0.8</formula>
    </cfRule>
  </conditionalFormatting>
  <conditionalFormatting sqref="R19:R20 AG19:AG20">
    <cfRule type="cellIs" dxfId="152" priority="30" operator="lessThan">
      <formula>0.8</formula>
    </cfRule>
  </conditionalFormatting>
  <conditionalFormatting sqref="R30 AG30">
    <cfRule type="cellIs" dxfId="151" priority="25" operator="lessThan">
      <formula>0.8</formula>
    </cfRule>
  </conditionalFormatting>
  <conditionalFormatting sqref="AG30">
    <cfRule type="cellIs" dxfId="150" priority="24" operator="lessThan">
      <formula>0.8</formula>
    </cfRule>
  </conditionalFormatting>
  <conditionalFormatting sqref="O63">
    <cfRule type="cellIs" dxfId="149" priority="19" operator="greaterThan">
      <formula>0</formula>
    </cfRule>
  </conditionalFormatting>
  <conditionalFormatting sqref="P63 AE63">
    <cfRule type="cellIs" dxfId="148" priority="22" operator="lessThan">
      <formula>0</formula>
    </cfRule>
  </conditionalFormatting>
  <conditionalFormatting sqref="Q63 AF63">
    <cfRule type="cellIs" dxfId="147" priority="20" operator="greaterThan">
      <formula>1</formula>
    </cfRule>
    <cfRule type="cellIs" dxfId="146" priority="21" operator="lessThan">
      <formula>0.8</formula>
    </cfRule>
  </conditionalFormatting>
  <conditionalFormatting sqref="R63 AG63">
    <cfRule type="cellIs" dxfId="145" priority="23" operator="lessThan">
      <formula>0.8</formula>
    </cfRule>
  </conditionalFormatting>
  <conditionalFormatting sqref="O21">
    <cfRule type="cellIs" dxfId="144" priority="14" operator="greaterThan">
      <formula>0</formula>
    </cfRule>
  </conditionalFormatting>
  <conditionalFormatting sqref="P21">
    <cfRule type="cellIs" dxfId="143" priority="17" operator="lessThan">
      <formula>0</formula>
    </cfRule>
  </conditionalFormatting>
  <conditionalFormatting sqref="Q21">
    <cfRule type="cellIs" dxfId="142" priority="15" operator="greaterThan">
      <formula>1</formula>
    </cfRule>
    <cfRule type="cellIs" dxfId="141" priority="16" operator="lessThan">
      <formula>0.8</formula>
    </cfRule>
  </conditionalFormatting>
  <conditionalFormatting sqref="AG21 R21">
    <cfRule type="cellIs" dxfId="140" priority="18" operator="lessThan">
      <formula>0.8</formula>
    </cfRule>
  </conditionalFormatting>
  <conditionalFormatting sqref="O22">
    <cfRule type="cellIs" dxfId="139" priority="9" operator="greaterThan">
      <formula>0</formula>
    </cfRule>
  </conditionalFormatting>
  <conditionalFormatting sqref="P22">
    <cfRule type="cellIs" dxfId="138" priority="12" operator="lessThan">
      <formula>0</formula>
    </cfRule>
  </conditionalFormatting>
  <conditionalFormatting sqref="Q22">
    <cfRule type="cellIs" dxfId="137" priority="10" operator="greaterThan">
      <formula>1</formula>
    </cfRule>
    <cfRule type="cellIs" dxfId="136" priority="11" operator="lessThan">
      <formula>0.8</formula>
    </cfRule>
  </conditionalFormatting>
  <conditionalFormatting sqref="AG22 R22">
    <cfRule type="cellIs" dxfId="135" priority="13" operator="lessThan">
      <formula>0.8</formula>
    </cfRule>
  </conditionalFormatting>
  <conditionalFormatting sqref="P8">
    <cfRule type="cellIs" dxfId="134" priority="8" operator="lessThan">
      <formula>0</formula>
    </cfRule>
  </conditionalFormatting>
  <conditionalFormatting sqref="P23">
    <cfRule type="cellIs" dxfId="133" priority="7" operator="lessThan">
      <formula>0</formula>
    </cfRule>
  </conditionalFormatting>
  <conditionalFormatting sqref="P31">
    <cfRule type="cellIs" dxfId="132" priority="6" operator="lessThan">
      <formula>0</formula>
    </cfRule>
  </conditionalFormatting>
  <conditionalFormatting sqref="P39">
    <cfRule type="cellIs" dxfId="131" priority="5" operator="lessThan">
      <formula>0</formula>
    </cfRule>
  </conditionalFormatting>
  <conditionalFormatting sqref="P53">
    <cfRule type="cellIs" dxfId="130" priority="4" operator="lessThan">
      <formula>0</formula>
    </cfRule>
  </conditionalFormatting>
  <conditionalFormatting sqref="P61">
    <cfRule type="cellIs" dxfId="129" priority="3" operator="lessThan">
      <formula>0</formula>
    </cfRule>
  </conditionalFormatting>
  <conditionalFormatting sqref="P67">
    <cfRule type="cellIs" dxfId="128" priority="2" operator="lessThan">
      <formula>0</formula>
    </cfRule>
  </conditionalFormatting>
  <conditionalFormatting sqref="P75">
    <cfRule type="cellIs" dxfId="127" priority="1" operator="lessThan">
      <formula>0</formula>
    </cfRule>
  </conditionalFormatting>
  <dataValidations count="1">
    <dataValidation type="list" allowBlank="1" showInputMessage="1" showErrorMessage="1" sqref="AB8 AA5:AB7 AB66 AB10:AB62 AA8:AA66 AA67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9" t="s">
        <v>88</v>
      </c>
      <c r="C1" s="599"/>
      <c r="D1" s="599"/>
      <c r="E1" s="599"/>
      <c r="F1" s="599"/>
      <c r="G1" s="599"/>
      <c r="H1" s="599"/>
      <c r="I1" s="599"/>
      <c r="J1" s="599"/>
      <c r="K1" s="36"/>
      <c r="L1" s="36"/>
      <c r="M1" s="36"/>
      <c r="N1" s="36"/>
      <c r="O1" s="36"/>
      <c r="P1" s="36"/>
    </row>
    <row r="2" spans="2:17" ht="27.75" customHeight="1">
      <c r="B2" s="600"/>
      <c r="C2" s="600"/>
      <c r="D2" s="600"/>
      <c r="E2" s="600"/>
      <c r="F2" s="600"/>
      <c r="G2" s="600"/>
      <c r="H2" s="600"/>
      <c r="I2" s="600"/>
      <c r="J2" s="600"/>
      <c r="K2" s="38"/>
      <c r="L2" s="38"/>
      <c r="M2" s="38"/>
      <c r="N2" s="36"/>
      <c r="O2" s="36"/>
      <c r="P2" s="36"/>
    </row>
    <row r="3" spans="2:17" ht="46.5" customHeight="1">
      <c r="B3" s="39" t="s">
        <v>89</v>
      </c>
      <c r="C3" s="601" t="str">
        <f>TEXT('0601 4度C'!A2,"yyyy.mm.ddaaaa")</f>
        <v>2026.06.01星期一</v>
      </c>
      <c r="D3" s="602"/>
      <c r="E3" s="39" t="s">
        <v>90</v>
      </c>
      <c r="F3" s="603">
        <f>'0601 4度C'!D1</f>
        <v>200668</v>
      </c>
      <c r="G3" s="604"/>
      <c r="H3" s="39" t="s">
        <v>91</v>
      </c>
      <c r="I3" s="605">
        <f>'0601 4度C'!F1</f>
        <v>6848473.0499999998</v>
      </c>
      <c r="J3" s="606"/>
      <c r="K3" s="40"/>
      <c r="L3" s="41"/>
      <c r="M3" s="42"/>
      <c r="N3" s="42"/>
    </row>
    <row r="4" spans="2:17" ht="28.5" customHeight="1">
      <c r="B4" s="607" t="s">
        <v>92</v>
      </c>
      <c r="C4" s="593" t="s">
        <v>93</v>
      </c>
      <c r="D4" s="594"/>
      <c r="E4" s="610" t="s">
        <v>94</v>
      </c>
      <c r="F4" s="611"/>
      <c r="G4" s="610" t="s">
        <v>95</v>
      </c>
      <c r="H4" s="611"/>
      <c r="I4" s="610" t="s">
        <v>96</v>
      </c>
      <c r="J4" s="611"/>
      <c r="K4" s="591" t="s">
        <v>97</v>
      </c>
      <c r="L4" s="592"/>
      <c r="M4" s="592" t="s">
        <v>74</v>
      </c>
      <c r="N4" s="592"/>
    </row>
    <row r="5" spans="2:17" ht="28.5" customHeight="1">
      <c r="B5" s="608"/>
      <c r="C5" s="593" t="s">
        <v>98</v>
      </c>
      <c r="D5" s="594"/>
      <c r="E5" s="593" t="s">
        <v>99</v>
      </c>
      <c r="F5" s="594"/>
      <c r="G5" s="595" t="s">
        <v>100</v>
      </c>
      <c r="H5" s="596"/>
      <c r="I5" s="597" t="s">
        <v>101</v>
      </c>
      <c r="J5" s="598"/>
      <c r="K5" s="43" t="s">
        <v>102</v>
      </c>
      <c r="L5" s="44" t="s">
        <v>78</v>
      </c>
      <c r="M5" s="43" t="s">
        <v>102</v>
      </c>
      <c r="N5" s="44" t="s">
        <v>103</v>
      </c>
    </row>
    <row r="6" spans="2:17" ht="28.5" customHeight="1">
      <c r="B6" s="608"/>
      <c r="C6" s="593" t="s">
        <v>58</v>
      </c>
      <c r="D6" s="594"/>
      <c r="E6" s="585">
        <f>AVERAGE(D13:M13)</f>
        <v>152.91673180633114</v>
      </c>
      <c r="F6" s="586">
        <f>AVERAGE(D31:O31,D13:J13)</f>
        <v>159.2633849992219</v>
      </c>
      <c r="G6" s="587">
        <f>AVERAGE(D13:J13)</f>
        <v>159.2633849992219</v>
      </c>
      <c r="H6" s="588"/>
      <c r="I6" s="587">
        <f>AVERAGE(K13:M13)</f>
        <v>138.10787435625272</v>
      </c>
      <c r="J6" s="588"/>
      <c r="K6" s="589">
        <f>'0601 4度C'!Y2</f>
        <v>0</v>
      </c>
      <c r="L6" s="574">
        <f>'0601 4度C'!Z2</f>
        <v>0</v>
      </c>
      <c r="M6" s="590">
        <f>'0601 4度C'!AC2</f>
        <v>61</v>
      </c>
      <c r="N6" s="574">
        <f>'0601 4度C'!AD2</f>
        <v>0</v>
      </c>
    </row>
    <row r="7" spans="2:17" ht="28.5" customHeight="1">
      <c r="B7" s="608"/>
      <c r="C7" s="575" t="s">
        <v>59</v>
      </c>
      <c r="D7" s="576"/>
      <c r="E7" s="577">
        <f>AVERAGE(D14:M14)</f>
        <v>146.45628403428151</v>
      </c>
      <c r="F7" s="578">
        <f>AVERAGE(D32:O32,D14:J14)</f>
        <v>152.67048563738354</v>
      </c>
      <c r="G7" s="579">
        <f>AVERAGE(D14:J14)</f>
        <v>152.67048563738354</v>
      </c>
      <c r="H7" s="580"/>
      <c r="I7" s="579">
        <f>AVERAGE(K14:M14)</f>
        <v>131.95648029371014</v>
      </c>
      <c r="J7" s="580"/>
      <c r="K7" s="589"/>
      <c r="L7" s="574"/>
      <c r="M7" s="590"/>
      <c r="N7" s="574"/>
    </row>
    <row r="8" spans="2:17" ht="28.5" customHeight="1">
      <c r="B8" s="609"/>
      <c r="C8" s="575" t="s">
        <v>60</v>
      </c>
      <c r="D8" s="576"/>
      <c r="E8" s="581">
        <f>AVERAGE(D15:M15)</f>
        <v>0.957163498996495</v>
      </c>
      <c r="F8" s="582">
        <f>AVERAGE(D15:J15,D33:O33)</f>
        <v>0.95790927198655673</v>
      </c>
      <c r="G8" s="583">
        <f>AVERAGE(D15:J15)</f>
        <v>0.95790927198655673</v>
      </c>
      <c r="H8" s="584"/>
      <c r="I8" s="583">
        <f>AVERAGE(K15:M15)</f>
        <v>0.9554233620196847</v>
      </c>
      <c r="J8" s="584"/>
      <c r="K8" s="589"/>
      <c r="L8" s="574"/>
      <c r="M8" s="590"/>
      <c r="N8" s="574"/>
    </row>
    <row r="9" spans="2:17" ht="28.5" customHeight="1" thickBot="1">
      <c r="H9" s="46"/>
      <c r="K9" s="47" t="s">
        <v>104</v>
      </c>
      <c r="N9" s="42"/>
      <c r="O9" s="42"/>
      <c r="P9" s="42"/>
      <c r="Q9" s="42"/>
    </row>
    <row r="10" spans="2:17" ht="30" customHeight="1">
      <c r="B10" s="557" t="s">
        <v>105</v>
      </c>
      <c r="C10" s="558"/>
      <c r="D10" s="559" t="s">
        <v>106</v>
      </c>
      <c r="E10" s="560"/>
      <c r="F10" s="560"/>
      <c r="G10" s="560"/>
      <c r="H10" s="560"/>
      <c r="I10" s="560"/>
      <c r="J10" s="561"/>
      <c r="K10" s="562" t="s">
        <v>107</v>
      </c>
      <c r="L10" s="563"/>
      <c r="M10" s="564"/>
      <c r="P10" s="48"/>
      <c r="Q10" s="48"/>
    </row>
    <row r="11" spans="2:17" ht="17.25" customHeight="1">
      <c r="B11" s="565" t="s">
        <v>108</v>
      </c>
      <c r="C11" s="566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7"/>
      <c r="C12" s="568"/>
      <c r="D12" s="52" t="s">
        <v>61</v>
      </c>
      <c r="E12" s="53" t="s">
        <v>62</v>
      </c>
      <c r="F12" s="53" t="s">
        <v>63</v>
      </c>
      <c r="G12" s="53" t="s">
        <v>64</v>
      </c>
      <c r="H12" s="53" t="s">
        <v>65</v>
      </c>
      <c r="I12" s="53" t="s">
        <v>66</v>
      </c>
      <c r="J12" s="54" t="s">
        <v>67</v>
      </c>
      <c r="K12" s="52" t="s">
        <v>68</v>
      </c>
      <c r="L12" s="53" t="s">
        <v>69</v>
      </c>
      <c r="M12" s="54" t="s">
        <v>70</v>
      </c>
    </row>
    <row r="13" spans="2:17" ht="40.15" customHeight="1">
      <c r="B13" s="569" t="s">
        <v>109</v>
      </c>
      <c r="C13" s="55" t="s">
        <v>110</v>
      </c>
      <c r="D13" s="56">
        <f>SUMIFS('0601 4度C'!$K:$K,'0601 4度C'!$A:$A,"新豐6線",'0601 4度C'!$B:$B,"平均")</f>
        <v>130.43478260869566</v>
      </c>
      <c r="E13" s="57">
        <f>SUMIFS('0601 4度C'!$K:$K,'0601 4度C'!$A:$A,"新豐2線",'0601 4度C'!$B:$B,"平均")</f>
        <v>85.22727272727272</v>
      </c>
      <c r="F13" s="58">
        <f>SUMIFS('0601 4度C'!$K:$K,'0601 4度C'!$A:$A,"新豐5線",'0601 4度C'!$B:$B,"平均")</f>
        <v>89.84375</v>
      </c>
      <c r="G13" s="58">
        <f>SUMIFS('0601 4度C'!$K:$K,'0601 4度C'!$A:$A,"新豐7線",'0601 4度C'!$B:$B,"平均")</f>
        <v>125</v>
      </c>
      <c r="H13" s="58">
        <f>SUMIFS('0601 4度C'!$K:$K,'0601 4度C'!$A:$A,"新豐3線",'0601 4度C'!$B:$B,"平均")</f>
        <v>255.81395348837211</v>
      </c>
      <c r="I13" s="58">
        <f>SUMIFS('0601 4度C'!$K:$K,'0601 4度C'!$A:$A,"新豐1線",'0601 4度C'!$B:$B,"平均")</f>
        <v>109.375</v>
      </c>
      <c r="J13" s="59">
        <f>SUMIFS('0601 4度C'!$K:$K,'0601 4度C'!$A:$A,"新豐10線",'0601 4度C'!$B:$B,"平均")</f>
        <v>319.14893617021278</v>
      </c>
      <c r="K13" s="60">
        <f>SUMIFS('0601 4度C'!$K:$K,'0601 4度C'!$A:$A,"新豐8線",'0601 4度C'!$B:$B,"平均")</f>
        <v>137.70491803278691</v>
      </c>
      <c r="L13" s="61">
        <f>SUMIFS('0601 4度C'!$K:$K,'0601 4度C'!$A:$A,"新豐9線",'0601 4度C'!$B:$B,"平均")</f>
        <v>126.61870503597122</v>
      </c>
      <c r="M13" s="59">
        <f>SUMIFS('0601 4度C'!$K:$K,'0601 4度C'!$A:$A,"新豐4線",'0601 4度C'!$B:$B,"平均")</f>
        <v>150</v>
      </c>
    </row>
    <row r="14" spans="2:17" ht="39.6" customHeight="1">
      <c r="B14" s="570"/>
      <c r="C14" s="62" t="s">
        <v>111</v>
      </c>
      <c r="D14" s="63">
        <f>SUMIFS('0601 4度C'!$N:$N,'0601 4度C'!$A:$A,"新豐6線",'0601 4度C'!$B:$B,"平均")</f>
        <v>124.9270366630908</v>
      </c>
      <c r="E14" s="64">
        <f>SUMIFS('0601 4度C'!$N:$N,'0601 4度C'!$A:$A,"新豐2線",'0601 4度C'!$B:$B,"平均")</f>
        <v>81.292451800071959</v>
      </c>
      <c r="F14" s="64">
        <f>SUMIFS('0601 4度C'!$N:$N,'0601 4度C'!$A:$A,"新豐5線",'0601 4度C'!$B:$B,"平均")</f>
        <v>86.194646351793651</v>
      </c>
      <c r="G14" s="64">
        <f>SUMIFS('0601 4度C'!$N:$N,'0601 4度C'!$A:$A,"新豐7線",'0601 4度C'!$B:$B,"平均")</f>
        <v>119.91008666989288</v>
      </c>
      <c r="H14" s="64">
        <f>SUMIFS('0601 4度C'!$N:$N,'0601 4度C'!$A:$A,"新豐3線",'0601 4度C'!$B:$B,"平均")</f>
        <v>244.66841224247531</v>
      </c>
      <c r="I14" s="64">
        <f>SUMIFS('0601 4度C'!$N:$N,'0601 4度C'!$A:$A,"新豐1線",'0601 4度C'!$B:$B,"平均")</f>
        <v>104.61197255665319</v>
      </c>
      <c r="J14" s="65">
        <f>SUMIFS('0601 4度C'!$N:$N,'0601 4度C'!$A:$A,"新豐10線",'0601 4度C'!$B:$B,"平均")</f>
        <v>307.08879317770692</v>
      </c>
      <c r="K14" s="66">
        <f>SUMIFS('0601 4度C'!$N:$N,'0601 4度C'!$A:$A,"新豐8線",'0601 4度C'!$B:$B,"平均")</f>
        <v>131.31883100236945</v>
      </c>
      <c r="L14" s="67">
        <f>SUMIFS('0601 4度C'!$N:$N,'0601 4度C'!$A:$A,"新豐9線",'0601 4度C'!$B:$B,"平均")</f>
        <v>121.01313990285644</v>
      </c>
      <c r="M14" s="65">
        <f>SUMIFS('0601 4度C'!$N:$N,'0601 4度C'!$A:$A,"新豐4線",'0601 4度C'!$B:$B,"平均")</f>
        <v>143.53746997590457</v>
      </c>
    </row>
    <row r="15" spans="2:17" ht="40.15" customHeight="1">
      <c r="B15" s="571"/>
      <c r="C15" s="68" t="s">
        <v>112</v>
      </c>
      <c r="D15" s="69">
        <f t="shared" ref="D15:M15" si="0">D14/D13</f>
        <v>0.95777394775036284</v>
      </c>
      <c r="E15" s="70">
        <f t="shared" si="0"/>
        <v>0.95383143445417773</v>
      </c>
      <c r="F15" s="70">
        <f t="shared" si="0"/>
        <v>0.95938388982865974</v>
      </c>
      <c r="G15" s="70">
        <f t="shared" si="0"/>
        <v>0.95928069335914301</v>
      </c>
      <c r="H15" s="70">
        <f t="shared" si="0"/>
        <v>0.95643106603876704</v>
      </c>
      <c r="I15" s="70">
        <f t="shared" si="0"/>
        <v>0.95645232051797202</v>
      </c>
      <c r="J15" s="71">
        <f t="shared" si="0"/>
        <v>0.96221155195681496</v>
      </c>
      <c r="K15" s="69">
        <f t="shared" si="0"/>
        <v>0.95362484418387328</v>
      </c>
      <c r="L15" s="70">
        <f t="shared" si="0"/>
        <v>0.95572877536915035</v>
      </c>
      <c r="M15" s="71">
        <f t="shared" si="0"/>
        <v>0.95691646650603046</v>
      </c>
    </row>
    <row r="16" spans="2:17" ht="17.25" customHeight="1">
      <c r="B16" s="572" t="s">
        <v>113</v>
      </c>
      <c r="C16" s="72" t="s">
        <v>114</v>
      </c>
      <c r="D16" s="73">
        <f>VLOOKUP("新豐6線",'0601 4度C'!$A:$T,19,0)</f>
        <v>0.70833333333333337</v>
      </c>
      <c r="E16" s="74">
        <f>VLOOKUP("新豐2線",'0601 4度C'!$A:$T,19,0)</f>
        <v>8.3333333333333329E-2</v>
      </c>
      <c r="F16" s="74">
        <f>VLOOKUP("新豐5線",'0601 4度C'!$A:$T,19,0)</f>
        <v>0.20833333333333334</v>
      </c>
      <c r="G16" s="74">
        <f>VLOOKUP("新豐7線",'0601 4度C'!$A:$T,19,0)</f>
        <v>0.20833333333333334</v>
      </c>
      <c r="H16" s="74">
        <f>VLOOKUP("新豐3線",'0601 4度C'!$A:$T,19,0)</f>
        <v>8.3333333333333329E-2</v>
      </c>
      <c r="I16" s="74">
        <f>VLOOKUP("新豐1線",'0601 4度C'!$A:$T,19,0)</f>
        <v>0.20833333333333334</v>
      </c>
      <c r="J16" s="75">
        <f>VLOOKUP("新豐10線",'0601 4度C'!$A:$T,19,0)</f>
        <v>0.20833333333333334</v>
      </c>
      <c r="K16" s="76">
        <f>VLOOKUP("新豐8線",'0601 4度C'!$A:$T,19,0)</f>
        <v>8.3333333333333329E-2</v>
      </c>
      <c r="L16" s="77">
        <f>VLOOKUP("新豐9線",'0601 4度C'!$A:$T,19,0)</f>
        <v>8.3333333333333329E-2</v>
      </c>
      <c r="M16" s="78">
        <f>VLOOKUP("新豐4線",'0601 4度C'!$A:$T,19,0)</f>
        <v>8.3333333333333329E-2</v>
      </c>
    </row>
    <row r="17" spans="2:13" ht="17.25" customHeight="1">
      <c r="B17" s="573"/>
      <c r="C17" s="72" t="s">
        <v>115</v>
      </c>
      <c r="D17" s="76">
        <f>LOOKUP(2,1/(('0601 4度C'!$A:$A="新豐6線")*('0601 4度C'!$T:$T&lt;&gt;"")),'0601 4度C'!$T:$T)</f>
        <v>0.84305555555555556</v>
      </c>
      <c r="E17" s="74">
        <f>LOOKUP(2,1/(('0601 4度C'!$A:$A="新豐2線")*('0601 4度C'!$T:$T&lt;&gt;"")),'0601 4度C'!$T:$T)</f>
        <v>0.69583333333333319</v>
      </c>
      <c r="F17" s="74">
        <f>LOOKUP(2,1/(('0601 4度C'!$A:$A="新豐5線")*('0601 4度C'!$T:$T&lt;&gt;"")),'0601 4度C'!$T:$T)</f>
        <v>0.82152777777777775</v>
      </c>
      <c r="G17" s="74">
        <f>LOOKUP(2,1/(('0601 4度C'!$A:$A="新豐7線")*('0601 4度C'!$T:$T&lt;&gt;"")),'0601 4度C'!$T:$T)</f>
        <v>0.83819444444444458</v>
      </c>
      <c r="H17" s="74">
        <f>LOOKUP(2,1/(('0601 4度C'!$A:$A="新豐3線")*('0601 4度C'!$T:$T&lt;&gt;"")),'0601 4度C'!$T:$T)</f>
        <v>0.42430555555555555</v>
      </c>
      <c r="I17" s="74">
        <f>LOOKUP(2,1/(('0601 4度C'!$A:$A="新豐1線")*('0601 4度C'!$T:$T&lt;&gt;"")),'0601 4度C'!$T:$T)</f>
        <v>0.83958333333333335</v>
      </c>
      <c r="J17" s="75">
        <f>LOOKUP(2,1/(('0601 4度C'!$A:$A="新豐10線")*('0601 4度C'!$T:$T&lt;&gt;"")),'0601 4度C'!$T:$T)</f>
        <v>0.41249999999999998</v>
      </c>
      <c r="K17" s="73">
        <f>LOOKUP(2,1/(('0601 4度C'!$A:$A="新豐8線")*('0601 4度C'!$T:$T&lt;&gt;"")),'0601 4度C'!$T:$T)</f>
        <v>0.73819444444444438</v>
      </c>
      <c r="L17" s="74">
        <f>LOOKUP(2,1/(('0601 4度C'!$A:$A="新豐9線")*('0601 4度C'!$T:$T&lt;&gt;"")),'0601 4度C'!$T:$T)</f>
        <v>0.75694444444444442</v>
      </c>
      <c r="M17" s="75">
        <f>LOOKUP(2,1/(('0601 4度C'!$A:$A="新豐4線")*('0601 4度C'!$T:$T&lt;&gt;"")),'0601 4度C'!$T:$T)</f>
        <v>0.75138888888888877</v>
      </c>
    </row>
    <row r="18" spans="2:13" ht="17.25" customHeight="1">
      <c r="B18" s="551" t="s">
        <v>116</v>
      </c>
      <c r="C18" s="79" t="s">
        <v>117</v>
      </c>
      <c r="D18" s="80">
        <f>SUMIFS('0601 4度C'!$Y:$Y,'0601 4度C'!$A:$A,"新豐6線",'0601 4度C'!$B:$B,"平均")</f>
        <v>0</v>
      </c>
      <c r="E18" s="81">
        <f>SUMIFS('0601 4度C'!$Y:$Y,'0601 4度C'!$A:$A,"新豐2線",'0601 4度C'!$B:$B,"平均")</f>
        <v>0</v>
      </c>
      <c r="F18" s="81">
        <f>SUMIFS('0601 4度C'!$Y:$Y,'0601 4度C'!$A:$A,"新豐5線",'0601 4度C'!$B:$B,"平均")</f>
        <v>0</v>
      </c>
      <c r="G18" s="81">
        <f>SUMIFS('0601 4度C'!$Y:$Y,'0601 4度C'!$A:$A,"新豐7線",'0601 4度C'!$B:$B,"平均")</f>
        <v>0</v>
      </c>
      <c r="H18" s="81">
        <f>SUMIFS('0601 4度C'!$Y:$Y,'0601 4度C'!$A:$A,"新豐3線",'0601 4度C'!$B:$B,"平均")</f>
        <v>0</v>
      </c>
      <c r="I18" s="81">
        <f>SUMIFS('0601 4度C'!$Y:$Y,'0601 4度C'!$A:$A,"新豐1線",'0601 4度C'!$B:$B,"平均")</f>
        <v>0</v>
      </c>
      <c r="J18" s="82">
        <f>SUMIFS('0601 4度C'!$Y:$Y,'0601 4度C'!$A:$A,"新豐10線",'0601 4度C'!$B:$B,"平均")</f>
        <v>0</v>
      </c>
      <c r="K18" s="83">
        <f>SUMIFS('0601 4度C'!$Y:$Y,'0601 4度C'!$A:$A,"新豐8線",'0601 4度C'!$B:$B,"平均")</f>
        <v>0</v>
      </c>
      <c r="L18" s="81">
        <f>SUMIFS('0601 4度C'!$Y:$Y,'0601 4度C'!$A:$A,"新豐9線",'0601 4度C'!$B:$B,"平均")</f>
        <v>0</v>
      </c>
      <c r="M18" s="82">
        <f>SUMIFS('0601 4度C'!$Y:$Y,'0601 4度C'!$A:$A,"新豐4線",'0601 4度C'!$B:$B,"平均")</f>
        <v>0</v>
      </c>
    </row>
    <row r="19" spans="2:13" ht="17.25" customHeight="1">
      <c r="B19" s="552"/>
      <c r="C19" s="79" t="s">
        <v>118</v>
      </c>
      <c r="D19" s="80">
        <f>SUMIFS('0601 4度C'!$Z:$Z,'0601 4度C'!$A:$A,"新豐6線",'0601 4度C'!$B:$B,"平均")</f>
        <v>0</v>
      </c>
      <c r="E19" s="81">
        <f>SUMIFS('0601 4度C'!$Z:$Z,'0601 4度C'!$A:$A,"新豐2線",'0601 4度C'!$B:$B,"平均")</f>
        <v>0</v>
      </c>
      <c r="F19" s="81">
        <f>SUMIFS('0601 4度C'!$Z:$Z,'0601 4度C'!$A:$A,"新豐5線",'0601 4度C'!$B:$B,"平均")</f>
        <v>0</v>
      </c>
      <c r="G19" s="81">
        <f>SUMIFS('0601 4度C'!$Z:$Z,'0601 4度C'!$A:$A,"新豐7線",'0601 4度C'!$B:$B,"平均")</f>
        <v>0</v>
      </c>
      <c r="H19" s="81">
        <f>SUMIFS('0601 4度C'!$Z:$Z,'0601 4度C'!$A:$A,"新豐3線",'0601 4度C'!$B:$B,"平均")</f>
        <v>0</v>
      </c>
      <c r="I19" s="81">
        <f>SUMIFS('0601 4度C'!$Z:$Z,'0601 4度C'!$A:$A,"新豐1線",'0601 4度C'!$B:$B,"平均")</f>
        <v>0</v>
      </c>
      <c r="J19" s="82">
        <f>SUMIFS('0601 4度C'!$Z:$Z,'0601 4度C'!$A:$A,"新豐10線",'0601 4度C'!$B:$B,"平均")</f>
        <v>0</v>
      </c>
      <c r="K19" s="83">
        <f>SUMIFS('0601 4度C'!$Z:$Z,'0601 4度C'!$A:$A,"新豐8線",'0601 4度C'!$B:$B,"平均")</f>
        <v>0</v>
      </c>
      <c r="L19" s="81">
        <f>SUMIFS('0601 4度C'!$Z:$Z,'0601 4度C'!$A:$A,"新豐9線",'0601 4度C'!$B:$B,"平均")</f>
        <v>0</v>
      </c>
      <c r="M19" s="82">
        <f>SUMIFS('0601 4度C'!$Z:$Z,'0601 4度C'!$A:$A,"新豐4線",'0601 4度C'!$B:$B,"平均")</f>
        <v>0</v>
      </c>
    </row>
    <row r="20" spans="2:13" ht="17.25" customHeight="1">
      <c r="B20" s="551" t="s">
        <v>119</v>
      </c>
      <c r="C20" s="79" t="s">
        <v>117</v>
      </c>
      <c r="D20" s="80">
        <f>SUMIFS('0601 4度C'!$AC:$AC,'0601 4度C'!$A:$A,"新豐6線",'0601 4度C'!$B:$B,"平均")</f>
        <v>3</v>
      </c>
      <c r="E20" s="81">
        <f>SUMIFS('0601 4度C'!$AC:$AC,'0601 4度C'!$A:$A,"新豐2線",'0601 4度C'!$B:$B,"平均")</f>
        <v>5</v>
      </c>
      <c r="F20" s="81">
        <f>SUMIFS('0601 4度C'!$AC:$AC,'0601 4度C'!$A:$A,"新豐5線",'0601 4度C'!$B:$B,"平均")</f>
        <v>7</v>
      </c>
      <c r="G20" s="81">
        <f>SUMIFS('0601 4度C'!$AC:$AC,'0601 4度C'!$A:$A,"新豐7線",'0601 4度C'!$B:$B,"平均")</f>
        <v>7</v>
      </c>
      <c r="H20" s="81">
        <f>SUMIFS('0601 4度C'!$AC:$AC,'0601 4度C'!$A:$A,"新豐3線",'0601 4度C'!$B:$B,"平均")</f>
        <v>4</v>
      </c>
      <c r="I20" s="81">
        <f>SUMIFS('0601 4度C'!$AC:$AC,'0601 4度C'!$A:$A,"新豐1線",'0601 4度C'!$B:$B,"平均")</f>
        <v>7</v>
      </c>
      <c r="J20" s="82">
        <f>SUMIFS('0601 4度C'!$AC:$AC,'0601 4度C'!$A:$A,"新豐10線",'0601 4度C'!$B:$B,"平均")</f>
        <v>5</v>
      </c>
      <c r="K20" s="83">
        <f>SUMIFS('0601 4度C'!$AC:$AC,'0601 4度C'!$A:$A,"新豐8線",'0601 4度C'!$B:$B,"平均")</f>
        <v>7</v>
      </c>
      <c r="L20" s="81">
        <f>SUMIFS('0601 4度C'!$AC:$AC,'0601 4度C'!$A:$A,"新豐9線",'0601 4度C'!$B:$B,"平均")</f>
        <v>8</v>
      </c>
      <c r="M20" s="82">
        <f>SUMIFS('0601 4度C'!$AC:$AC,'0601 4度C'!$A:$A,"新豐4線",'0601 4度C'!$B:$B,"平均")</f>
        <v>8</v>
      </c>
    </row>
    <row r="21" spans="2:13" ht="17.25" customHeight="1">
      <c r="B21" s="552"/>
      <c r="C21" s="79" t="s">
        <v>120</v>
      </c>
      <c r="D21" s="80">
        <f>SUMIFS('0601 4度C'!$AD:$AD,'0601 4度C'!$A:$A,"新豐6線",'0601 4度C'!$B:$B,"平均")</f>
        <v>0</v>
      </c>
      <c r="E21" s="81">
        <f>SUMIFS('0601 4度C'!$AD:$AD,'0601 4度C'!$A:$A,"新豐2線",'0601 4度C'!$B:$B,"平均")</f>
        <v>0</v>
      </c>
      <c r="F21" s="81">
        <f>SUMIFS('0601 4度C'!$AD:$AD,'0601 4度C'!$A:$A,"新豐5線",'0601 4度C'!$B:$B,"平均")</f>
        <v>0</v>
      </c>
      <c r="G21" s="81">
        <f>SUMIFS('0601 4度C'!$AD:$AD,'0601 4度C'!$A:$A,"新豐7線",'0601 4度C'!$B:$B,"平均")</f>
        <v>0</v>
      </c>
      <c r="H21" s="81">
        <f>SUMIFS('0601 4度C'!$AD:$AD,'0601 4度C'!$A:$A,"新豐3線",'0601 4度C'!$B:$B,"平均")</f>
        <v>0</v>
      </c>
      <c r="I21" s="81">
        <f>SUMIFS('0601 4度C'!$AD:$AD,'0601 4度C'!$A:$A,"新豐1線",'0601 4度C'!$B:$B,"平均")</f>
        <v>0</v>
      </c>
      <c r="J21" s="82">
        <f>SUMIFS('0601 4度C'!$AD:$AD,'0601 4度C'!$A:$A,"新豐10線",'0601 4度C'!$B:$B,"平均")</f>
        <v>0</v>
      </c>
      <c r="K21" s="83">
        <f>SUMIFS('0601 4度C'!$AD:$AD,'0601 4度C'!$A:$A,"新豐8線",'0601 4度C'!$B:$B,"平均")</f>
        <v>0</v>
      </c>
      <c r="L21" s="81">
        <f>SUMIFS('0601 4度C'!$AD:$AD,'0601 4度C'!$A:$A,"新豐9線",'0601 4度C'!$B:$B,"平均")</f>
        <v>0</v>
      </c>
      <c r="M21" s="82">
        <f>SUMIFS('0601 4度C'!$AD:$AD,'0601 4度C'!$A:$A,"新豐4線",'0601 4度C'!$B:$B,"平均")</f>
        <v>0</v>
      </c>
    </row>
    <row r="22" spans="2:13" ht="17.25" customHeight="1">
      <c r="B22" s="553" t="s">
        <v>121</v>
      </c>
      <c r="C22" s="554"/>
      <c r="D22" s="84">
        <f>SUMIFS('0601 4度C'!$I:$I,'0601 4度C'!$A:$A,"新豐6線",'0601 4度C'!$B:$B,"平均")</f>
        <v>15.333333333333334</v>
      </c>
      <c r="E22" s="85">
        <f>SUMIFS('0601 4度C'!$I:$I,'0601 4度C'!$A:$A,"新豐2線",'0601 4度C'!$B:$B,"平均")</f>
        <v>17.600000000000001</v>
      </c>
      <c r="F22" s="85">
        <f>SUMIFS('0601 4度C'!$I:$I,'0601 4度C'!$A:$A,"新豐5線",'0601 4度C'!$B:$B,"平均")</f>
        <v>18.285714285714285</v>
      </c>
      <c r="G22" s="85">
        <f>SUMIFS('0601 4度C'!$I:$I,'0601 4度C'!$A:$A,"新豐7線",'0601 4度C'!$B:$B,"平均")</f>
        <v>15.428571428571429</v>
      </c>
      <c r="H22" s="85">
        <f>SUMIFS('0601 4度C'!$I:$I,'0601 4度C'!$A:$A,"新豐3線",'0601 4度C'!$B:$B,"平均")</f>
        <v>10.75</v>
      </c>
      <c r="I22" s="85">
        <f>SUMIFS('0601 4度C'!$I:$I,'0601 4度C'!$A:$A,"新豐1線",'0601 4度C'!$B:$B,"平均")</f>
        <v>18.285714285714285</v>
      </c>
      <c r="J22" s="86">
        <f>SUMIFS('0601 4度C'!$I:$I,'0601 4度C'!$A:$A,"新豐10線",'0601 4度C'!$B:$B,"平均")</f>
        <v>9.4</v>
      </c>
      <c r="K22" s="84">
        <f>SUMIFS('0601 4度C'!$I:$I,'0601 4度C'!$A:$A,"新豐8線",'0601 4度C'!$B:$B,"平均")</f>
        <v>17.428571428571427</v>
      </c>
      <c r="L22" s="85">
        <f>SUMIFS('0601 4度C'!$I:$I,'0601 4度C'!$A:$A,"新豐9線",'0601 4度C'!$B:$B,"平均")</f>
        <v>17.375</v>
      </c>
      <c r="M22" s="86">
        <f>SUMIFS('0601 4度C'!$I:$I,'0601 4度C'!$A:$A,"新豐4線",'0601 4度C'!$B:$B,"平均")</f>
        <v>16</v>
      </c>
    </row>
    <row r="23" spans="2:13" ht="17.25" customHeight="1">
      <c r="B23" s="553" t="s">
        <v>122</v>
      </c>
      <c r="C23" s="554"/>
      <c r="D23" s="87" t="s">
        <v>71</v>
      </c>
      <c r="E23" s="88" t="s">
        <v>72</v>
      </c>
      <c r="F23" s="88" t="s">
        <v>123</v>
      </c>
      <c r="G23" s="88" t="s">
        <v>123</v>
      </c>
      <c r="H23" s="88" t="s">
        <v>73</v>
      </c>
      <c r="I23" s="88" t="s">
        <v>71</v>
      </c>
      <c r="J23" s="89" t="s">
        <v>73</v>
      </c>
      <c r="K23" s="87" t="s">
        <v>124</v>
      </c>
      <c r="L23" s="88" t="s">
        <v>124</v>
      </c>
      <c r="M23" s="89" t="s">
        <v>124</v>
      </c>
    </row>
    <row r="24" spans="2:13" ht="17.25" customHeight="1">
      <c r="B24" s="553" t="s">
        <v>125</v>
      </c>
      <c r="C24" s="554"/>
      <c r="D24" s="87"/>
      <c r="E24" s="88"/>
      <c r="F24" s="88" t="s">
        <v>126</v>
      </c>
      <c r="G24" s="88" t="s">
        <v>71</v>
      </c>
      <c r="H24" s="88"/>
      <c r="I24" s="88"/>
      <c r="J24" s="89"/>
      <c r="K24" s="87"/>
      <c r="L24" s="88"/>
      <c r="M24" s="89"/>
    </row>
    <row r="25" spans="2:13" ht="17.25" customHeight="1" thickBot="1">
      <c r="B25" s="555" t="s">
        <v>127</v>
      </c>
      <c r="C25" s="556"/>
      <c r="D25" s="90"/>
      <c r="E25" s="91" t="s">
        <v>128</v>
      </c>
      <c r="F25" s="549" t="s">
        <v>129</v>
      </c>
      <c r="G25" s="550"/>
      <c r="H25" s="91" t="s">
        <v>130</v>
      </c>
      <c r="I25" s="91" t="s">
        <v>131</v>
      </c>
      <c r="J25" s="92" t="s">
        <v>130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6"/>
  <sheetViews>
    <sheetView zoomScale="80" zoomScaleNormal="80" workbookViewId="0">
      <pane ySplit="4" topLeftCell="A5" activePane="bottomLeft" state="frozen"/>
      <selection activeCell="C3" sqref="C3:D3"/>
      <selection pane="bottomLeft" activeCell="T5" sqref="T5:X75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96" customWidth="1"/>
    <col min="20" max="20" width="7.625" style="96" customWidth="1"/>
    <col min="21" max="21" width="10.25" style="7" customWidth="1"/>
    <col min="22" max="22" width="8.75" style="26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29" width="15.125" style="96" customWidth="1"/>
    <col min="30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132</v>
      </c>
      <c r="B1" s="1"/>
      <c r="C1" s="2" t="s">
        <v>133</v>
      </c>
      <c r="D1" s="3">
        <f>SUM(F5:F75)</f>
        <v>200668</v>
      </c>
      <c r="E1" s="104" t="s">
        <v>134</v>
      </c>
      <c r="F1" s="1">
        <f>SUM(G5:G75)</f>
        <v>6848473.0499999998</v>
      </c>
      <c r="G1" s="1" t="s">
        <v>135</v>
      </c>
      <c r="H1" s="4">
        <f>L8+L14+L52+L60+L22+L66+L38+L47+L30+L75</f>
        <v>155.88690476190476</v>
      </c>
      <c r="I1" s="663" t="s">
        <v>136</v>
      </c>
      <c r="J1" s="663"/>
      <c r="K1" s="663"/>
      <c r="L1" s="663" t="s">
        <v>137</v>
      </c>
      <c r="M1" s="663"/>
      <c r="N1" s="663"/>
      <c r="O1" s="663" t="s">
        <v>138</v>
      </c>
      <c r="P1" s="663"/>
      <c r="Q1" s="663"/>
      <c r="R1" s="663"/>
      <c r="S1" s="663" t="s">
        <v>139</v>
      </c>
      <c r="T1" s="663"/>
      <c r="U1" s="663"/>
      <c r="V1" s="663"/>
      <c r="W1" s="663"/>
      <c r="X1" s="663"/>
      <c r="Y1" s="5" t="s">
        <v>140</v>
      </c>
      <c r="Z1" s="6" t="s">
        <v>141</v>
      </c>
      <c r="AA1" s="664" t="s">
        <v>142</v>
      </c>
      <c r="AB1" s="664"/>
      <c r="AC1" s="94" t="s">
        <v>140</v>
      </c>
      <c r="AD1" s="6" t="s">
        <v>143</v>
      </c>
      <c r="AE1" s="663" t="s">
        <v>144</v>
      </c>
      <c r="AF1" s="665"/>
      <c r="AG1" s="665"/>
    </row>
    <row r="2" spans="1:33" ht="26.25" customHeight="1">
      <c r="A2" s="27">
        <v>46174</v>
      </c>
      <c r="B2" s="28" t="s">
        <v>75</v>
      </c>
      <c r="C2" s="2" t="s">
        <v>145</v>
      </c>
      <c r="D2" s="8">
        <f>AVERAGE(N8,N14,N52,N60,N22,N66,N30,N38,N47,N75)</f>
        <v>146.45628403428151</v>
      </c>
      <c r="E2" s="9" t="s">
        <v>0</v>
      </c>
      <c r="F2" s="10">
        <f>F1/D1</f>
        <v>34.128376472581579</v>
      </c>
      <c r="G2" s="1" t="s">
        <v>146</v>
      </c>
      <c r="H2" s="109">
        <f>COUNT(H5:H75)</f>
        <v>13</v>
      </c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11">
        <f>SUM(Y8+Y14+Y22+Y30+Y38+Y47+Y52+Y60+Y66+Y75)</f>
        <v>0</v>
      </c>
      <c r="Z2" s="11">
        <f>SUM(Z8+Z14+Z22+Z30+Z38+Z47+Z52+Z60+Z66+Z75)</f>
        <v>0</v>
      </c>
      <c r="AA2" s="664"/>
      <c r="AB2" s="664"/>
      <c r="AC2" s="95">
        <v>61</v>
      </c>
      <c r="AD2" s="11">
        <f>SUM(AD8+AD14+AD22+AD30+AD38+AD47+AD52+AD60+AD66+AD75)</f>
        <v>0</v>
      </c>
      <c r="AE2" s="665"/>
      <c r="AF2" s="665"/>
      <c r="AG2" s="665"/>
    </row>
    <row r="3" spans="1:33" ht="40.5" customHeight="1">
      <c r="A3" s="617" t="s">
        <v>147</v>
      </c>
      <c r="B3" s="617" t="s">
        <v>148</v>
      </c>
      <c r="C3" s="617" t="s">
        <v>149</v>
      </c>
      <c r="D3" s="617"/>
      <c r="E3" s="661" t="s">
        <v>150</v>
      </c>
      <c r="F3" s="617" t="s">
        <v>151</v>
      </c>
      <c r="G3" s="661" t="s">
        <v>152</v>
      </c>
      <c r="H3" s="654" t="s">
        <v>153</v>
      </c>
      <c r="I3" s="652" t="s">
        <v>154</v>
      </c>
      <c r="J3" s="649" t="s">
        <v>155</v>
      </c>
      <c r="K3" s="659" t="s">
        <v>145</v>
      </c>
      <c r="L3" s="652" t="s">
        <v>154</v>
      </c>
      <c r="M3" s="649" t="s">
        <v>155</v>
      </c>
      <c r="N3" s="659" t="s">
        <v>145</v>
      </c>
      <c r="O3" s="652" t="s">
        <v>154</v>
      </c>
      <c r="P3" s="659" t="s">
        <v>145</v>
      </c>
      <c r="Q3" s="650" t="s">
        <v>156</v>
      </c>
      <c r="R3" s="630" t="s">
        <v>157</v>
      </c>
      <c r="S3" s="660" t="s">
        <v>1</v>
      </c>
      <c r="T3" s="660"/>
      <c r="U3" s="654" t="s">
        <v>2</v>
      </c>
      <c r="V3" s="654" t="s">
        <v>158</v>
      </c>
      <c r="W3" s="617" t="s">
        <v>159</v>
      </c>
      <c r="X3" s="617"/>
      <c r="Y3" s="655" t="s">
        <v>160</v>
      </c>
      <c r="Z3" s="614"/>
      <c r="AA3" s="656" t="s">
        <v>161</v>
      </c>
      <c r="AB3" s="657"/>
      <c r="AC3" s="655" t="s">
        <v>162</v>
      </c>
      <c r="AD3" s="614"/>
      <c r="AE3" s="649" t="s">
        <v>163</v>
      </c>
      <c r="AF3" s="650" t="s">
        <v>164</v>
      </c>
      <c r="AG3" s="630" t="s">
        <v>165</v>
      </c>
    </row>
    <row r="4" spans="1:33" ht="15.75" customHeight="1">
      <c r="A4" s="617"/>
      <c r="B4" s="617"/>
      <c r="C4" s="617"/>
      <c r="D4" s="617"/>
      <c r="E4" s="662"/>
      <c r="F4" s="617"/>
      <c r="G4" s="662"/>
      <c r="H4" s="654"/>
      <c r="I4" s="652"/>
      <c r="J4" s="649"/>
      <c r="K4" s="659"/>
      <c r="L4" s="652"/>
      <c r="M4" s="649"/>
      <c r="N4" s="659"/>
      <c r="O4" s="652"/>
      <c r="P4" s="659"/>
      <c r="Q4" s="650"/>
      <c r="R4" s="630"/>
      <c r="S4" s="108" t="s">
        <v>3</v>
      </c>
      <c r="T4" s="108" t="s">
        <v>4</v>
      </c>
      <c r="U4" s="654"/>
      <c r="V4" s="654"/>
      <c r="W4" s="104" t="s">
        <v>166</v>
      </c>
      <c r="X4" s="104" t="s">
        <v>167</v>
      </c>
      <c r="Y4" s="102" t="s">
        <v>168</v>
      </c>
      <c r="Z4" s="102" t="s">
        <v>169</v>
      </c>
      <c r="AA4" s="658"/>
      <c r="AB4" s="657"/>
      <c r="AC4" s="102" t="s">
        <v>170</v>
      </c>
      <c r="AD4" s="102" t="s">
        <v>171</v>
      </c>
      <c r="AE4" s="649"/>
      <c r="AF4" s="650"/>
      <c r="AG4" s="630"/>
    </row>
    <row r="5" spans="1:33">
      <c r="A5" s="651" t="s">
        <v>172</v>
      </c>
      <c r="B5" s="29" t="s">
        <v>15</v>
      </c>
      <c r="C5" s="653" t="s">
        <v>17</v>
      </c>
      <c r="D5" s="653"/>
      <c r="E5" s="29">
        <v>50.67</v>
      </c>
      <c r="F5" s="108">
        <v>1526</v>
      </c>
      <c r="G5" s="104">
        <f t="shared" ref="G5:G7" si="0">E5*F5</f>
        <v>77322.42</v>
      </c>
      <c r="H5" s="33" t="s">
        <v>57</v>
      </c>
      <c r="I5" s="106">
        <v>15</v>
      </c>
      <c r="J5" s="31">
        <v>2000</v>
      </c>
      <c r="K5" s="12">
        <f t="shared" ref="K5:K68" si="1">J5/I5</f>
        <v>133.33333333333334</v>
      </c>
      <c r="L5" s="106">
        <v>15</v>
      </c>
      <c r="M5" s="13">
        <f t="shared" ref="M5:M7" si="2">F5/V5*60</f>
        <v>1907.5000000000005</v>
      </c>
      <c r="N5" s="12">
        <f t="shared" ref="N5:N68" si="3">M5/L5</f>
        <v>127.1666666666667</v>
      </c>
      <c r="O5" s="14">
        <f t="shared" ref="O5:O68" si="4">L5-I5</f>
        <v>0</v>
      </c>
      <c r="P5" s="15">
        <f t="shared" ref="P5:P68" si="5">N5-K5</f>
        <v>-6.166666666666643</v>
      </c>
      <c r="Q5" s="103">
        <f t="shared" ref="Q5:Q68" si="6">N5/K5</f>
        <v>0.95375000000000021</v>
      </c>
      <c r="R5" s="615">
        <f>Q8</f>
        <v>0.95777394775036284</v>
      </c>
      <c r="S5" s="34">
        <v>0.70833333333333337</v>
      </c>
      <c r="T5" s="34">
        <v>0.7416666666666667</v>
      </c>
      <c r="U5" s="104"/>
      <c r="V5" s="107">
        <f t="shared" ref="V5:V7" si="7">(T5-S5)*24*60</f>
        <v>47.999999999999986</v>
      </c>
      <c r="W5" s="16"/>
      <c r="X5" s="17"/>
      <c r="Y5" s="17"/>
      <c r="Z5" s="17"/>
      <c r="AA5" s="617"/>
      <c r="AB5" s="617"/>
      <c r="AC5" s="35">
        <v>3</v>
      </c>
      <c r="AD5" s="18"/>
      <c r="AE5" s="14">
        <f t="shared" ref="AE5:AE59" si="8">M5-J5</f>
        <v>-92.499999999999545</v>
      </c>
      <c r="AF5" s="103">
        <f t="shared" ref="AF5:AF68" si="9">M5/J5</f>
        <v>0.95375000000000021</v>
      </c>
      <c r="AG5" s="615">
        <f>AF8</f>
        <v>0.95777394775036284</v>
      </c>
    </row>
    <row r="6" spans="1:33">
      <c r="A6" s="652" t="s">
        <v>173</v>
      </c>
      <c r="B6" s="29" t="s">
        <v>15</v>
      </c>
      <c r="C6" s="653" t="s">
        <v>26</v>
      </c>
      <c r="D6" s="653"/>
      <c r="E6" s="29">
        <v>50.92</v>
      </c>
      <c r="F6" s="108">
        <v>2489</v>
      </c>
      <c r="G6" s="104">
        <f t="shared" si="0"/>
        <v>126739.88</v>
      </c>
      <c r="H6" s="33" t="s">
        <v>57</v>
      </c>
      <c r="I6" s="106">
        <v>15</v>
      </c>
      <c r="J6" s="31">
        <v>2000</v>
      </c>
      <c r="K6" s="12">
        <f t="shared" si="1"/>
        <v>133.33333333333334</v>
      </c>
      <c r="L6" s="106">
        <v>15</v>
      </c>
      <c r="M6" s="13">
        <f t="shared" si="2"/>
        <v>1914.6153846153836</v>
      </c>
      <c r="N6" s="12">
        <f t="shared" si="3"/>
        <v>127.64102564102558</v>
      </c>
      <c r="O6" s="14">
        <f t="shared" si="4"/>
        <v>0</v>
      </c>
      <c r="P6" s="15">
        <f t="shared" si="5"/>
        <v>-5.6923076923077645</v>
      </c>
      <c r="Q6" s="103">
        <f t="shared" si="6"/>
        <v>0.95730769230769175</v>
      </c>
      <c r="R6" s="615"/>
      <c r="S6" s="34">
        <v>0.74722222222222223</v>
      </c>
      <c r="T6" s="34">
        <v>0.80138888888888893</v>
      </c>
      <c r="U6" s="104">
        <f t="shared" ref="U6:U7" si="10">IF(S6=TIME(17,0,0),"",(S6-T5)*24*60)</f>
        <v>7.9999999999999716</v>
      </c>
      <c r="V6" s="107">
        <f t="shared" si="7"/>
        <v>78.000000000000043</v>
      </c>
      <c r="W6" s="16"/>
      <c r="X6" s="16"/>
      <c r="Y6" s="16"/>
      <c r="Z6" s="16"/>
      <c r="AA6" s="617"/>
      <c r="AB6" s="617"/>
      <c r="AC6" s="35"/>
      <c r="AD6" s="18"/>
      <c r="AE6" s="14">
        <f t="shared" si="8"/>
        <v>-85.384615384616382</v>
      </c>
      <c r="AF6" s="103">
        <f t="shared" si="9"/>
        <v>0.95730769230769186</v>
      </c>
      <c r="AG6" s="615"/>
    </row>
    <row r="7" spans="1:33">
      <c r="A7" s="652" t="s">
        <v>5</v>
      </c>
      <c r="B7" s="29" t="s">
        <v>15</v>
      </c>
      <c r="C7" s="644" t="s">
        <v>31</v>
      </c>
      <c r="D7" s="645"/>
      <c r="E7" s="29">
        <v>50.98</v>
      </c>
      <c r="F7" s="108">
        <v>1700</v>
      </c>
      <c r="G7" s="104">
        <f t="shared" si="0"/>
        <v>86666</v>
      </c>
      <c r="H7" s="33">
        <v>2</v>
      </c>
      <c r="I7" s="106">
        <v>16</v>
      </c>
      <c r="J7" s="31">
        <v>2000</v>
      </c>
      <c r="K7" s="12">
        <f t="shared" si="1"/>
        <v>125</v>
      </c>
      <c r="L7" s="106">
        <v>16</v>
      </c>
      <c r="M7" s="13">
        <f t="shared" si="2"/>
        <v>1924.5283018867935</v>
      </c>
      <c r="N7" s="12">
        <f t="shared" si="3"/>
        <v>120.2830188679246</v>
      </c>
      <c r="O7" s="14">
        <f t="shared" si="4"/>
        <v>0</v>
      </c>
      <c r="P7" s="15">
        <f t="shared" si="5"/>
        <v>-4.7169811320754036</v>
      </c>
      <c r="Q7" s="103">
        <f t="shared" si="6"/>
        <v>0.96226415094339679</v>
      </c>
      <c r="R7" s="615"/>
      <c r="S7" s="34">
        <v>0.80625000000000002</v>
      </c>
      <c r="T7" s="34">
        <v>0.84305555555555556</v>
      </c>
      <c r="U7" s="104">
        <f t="shared" si="10"/>
        <v>6.9999999999999751</v>
      </c>
      <c r="V7" s="107">
        <f t="shared" si="7"/>
        <v>52.999999999999972</v>
      </c>
      <c r="W7" s="16"/>
      <c r="X7" s="16"/>
      <c r="Y7" s="19"/>
      <c r="Z7" s="19"/>
      <c r="AA7" s="624"/>
      <c r="AB7" s="625"/>
      <c r="AC7" s="35"/>
      <c r="AD7" s="20"/>
      <c r="AE7" s="14">
        <f t="shared" si="8"/>
        <v>-75.471698113206457</v>
      </c>
      <c r="AF7" s="103">
        <f t="shared" si="9"/>
        <v>0.96226415094339679</v>
      </c>
      <c r="AG7" s="615"/>
    </row>
    <row r="8" spans="1:33">
      <c r="A8" s="652" t="s">
        <v>173</v>
      </c>
      <c r="B8" s="29" t="s">
        <v>6</v>
      </c>
      <c r="C8" s="618"/>
      <c r="D8" s="618"/>
      <c r="E8" s="105"/>
      <c r="F8" s="30"/>
      <c r="G8" s="12"/>
      <c r="H8" s="108"/>
      <c r="I8" s="23">
        <v>15.333333333333334</v>
      </c>
      <c r="J8" s="31">
        <v>2000</v>
      </c>
      <c r="K8" s="12">
        <f t="shared" si="1"/>
        <v>130.43478260869566</v>
      </c>
      <c r="L8" s="23">
        <v>15.333333333333334</v>
      </c>
      <c r="M8" s="13">
        <f>AVERAGE(M5:M7)</f>
        <v>1915.5478955007256</v>
      </c>
      <c r="N8" s="12">
        <f t="shared" si="3"/>
        <v>124.9270366630908</v>
      </c>
      <c r="O8" s="14">
        <f t="shared" si="4"/>
        <v>0</v>
      </c>
      <c r="P8" s="15">
        <f t="shared" si="5"/>
        <v>-5.507745945604853</v>
      </c>
      <c r="Q8" s="103">
        <f t="shared" si="6"/>
        <v>0.95777394775036284</v>
      </c>
      <c r="R8" s="615"/>
      <c r="S8" s="34"/>
      <c r="T8" s="34"/>
      <c r="U8" s="104"/>
      <c r="V8" s="107"/>
      <c r="W8" s="12"/>
      <c r="X8" s="12"/>
      <c r="Y8" s="24">
        <f>SUM(Y5:Y7)</f>
        <v>0</v>
      </c>
      <c r="Z8" s="24">
        <f>SUM(Z5:Z7)</f>
        <v>0</v>
      </c>
      <c r="AA8" s="614"/>
      <c r="AB8" s="614"/>
      <c r="AC8" s="24">
        <v>3</v>
      </c>
      <c r="AD8" s="24">
        <f>SUM(AD5:AD7)</f>
        <v>0</v>
      </c>
      <c r="AE8" s="14">
        <f t="shared" si="8"/>
        <v>-84.452104499274355</v>
      </c>
      <c r="AF8" s="103">
        <f t="shared" si="9"/>
        <v>0.95777394775036284</v>
      </c>
      <c r="AG8" s="615"/>
    </row>
    <row r="9" spans="1:33" ht="15.75" customHeight="1">
      <c r="A9" s="648" t="s">
        <v>174</v>
      </c>
      <c r="B9" s="29" t="s">
        <v>19</v>
      </c>
      <c r="C9" s="644" t="s">
        <v>20</v>
      </c>
      <c r="D9" s="645"/>
      <c r="E9" s="29">
        <v>39.619999999999997</v>
      </c>
      <c r="F9" s="108">
        <v>3500</v>
      </c>
      <c r="G9" s="104">
        <f t="shared" ref="G9:G13" si="11">E9*F9</f>
        <v>138670</v>
      </c>
      <c r="H9" s="33">
        <v>2</v>
      </c>
      <c r="I9" s="106">
        <v>19</v>
      </c>
      <c r="J9" s="31">
        <v>1500</v>
      </c>
      <c r="K9" s="12">
        <f t="shared" si="1"/>
        <v>78.94736842105263</v>
      </c>
      <c r="L9" s="106">
        <v>19</v>
      </c>
      <c r="M9" s="13">
        <f t="shared" ref="M9:M13" si="12">F9/V9*60</f>
        <v>1428.5714285714287</v>
      </c>
      <c r="N9" s="12">
        <f t="shared" si="3"/>
        <v>75.187969924812037</v>
      </c>
      <c r="O9" s="14">
        <f t="shared" si="4"/>
        <v>0</v>
      </c>
      <c r="P9" s="15">
        <f t="shared" si="5"/>
        <v>-3.7593984962405926</v>
      </c>
      <c r="Q9" s="103">
        <f t="shared" si="6"/>
        <v>0.95238095238095244</v>
      </c>
      <c r="R9" s="615">
        <f>Q14</f>
        <v>0.95383143445417773</v>
      </c>
      <c r="S9" s="34">
        <v>8.3333333333333329E-2</v>
      </c>
      <c r="T9" s="34">
        <v>0.18541666666666667</v>
      </c>
      <c r="U9" s="104"/>
      <c r="V9" s="107">
        <f t="shared" ref="V9:V13" si="13">(T9-S9)*24*60</f>
        <v>147</v>
      </c>
      <c r="W9" s="16">
        <f>T9</f>
        <v>0.18541666666666667</v>
      </c>
      <c r="X9" s="16">
        <f>S10</f>
        <v>0.20416666666666669</v>
      </c>
      <c r="Y9" s="16"/>
      <c r="Z9" s="16"/>
      <c r="AA9" s="617"/>
      <c r="AB9" s="617"/>
      <c r="AC9" s="35">
        <v>5</v>
      </c>
      <c r="AD9" s="18"/>
      <c r="AE9" s="14">
        <f t="shared" si="8"/>
        <v>-71.428571428571331</v>
      </c>
      <c r="AF9" s="103">
        <f t="shared" si="9"/>
        <v>0.95238095238095244</v>
      </c>
      <c r="AG9" s="615">
        <f>AF14</f>
        <v>0.95383143445417773</v>
      </c>
    </row>
    <row r="10" spans="1:33" ht="15.75" customHeight="1">
      <c r="A10" s="648" t="s">
        <v>174</v>
      </c>
      <c r="B10" s="29" t="s">
        <v>19</v>
      </c>
      <c r="C10" s="644" t="s">
        <v>21</v>
      </c>
      <c r="D10" s="645"/>
      <c r="E10" s="29">
        <v>39.799999999999997</v>
      </c>
      <c r="F10" s="108">
        <v>4800</v>
      </c>
      <c r="G10" s="104">
        <f t="shared" si="11"/>
        <v>191040</v>
      </c>
      <c r="H10" s="33">
        <v>2</v>
      </c>
      <c r="I10" s="106">
        <v>17</v>
      </c>
      <c r="J10" s="31">
        <v>1500</v>
      </c>
      <c r="K10" s="12">
        <f t="shared" si="1"/>
        <v>88.235294117647058</v>
      </c>
      <c r="L10" s="106">
        <v>17</v>
      </c>
      <c r="M10" s="13">
        <f t="shared" si="12"/>
        <v>1432.8358208955226</v>
      </c>
      <c r="N10" s="12">
        <f t="shared" si="3"/>
        <v>84.284460052677801</v>
      </c>
      <c r="O10" s="14">
        <f t="shared" si="4"/>
        <v>0</v>
      </c>
      <c r="P10" s="15">
        <f t="shared" si="5"/>
        <v>-3.950834064969257</v>
      </c>
      <c r="Q10" s="103">
        <f t="shared" si="6"/>
        <v>0.95522388059701513</v>
      </c>
      <c r="R10" s="615"/>
      <c r="S10" s="34">
        <v>0.20416666666666669</v>
      </c>
      <c r="T10" s="34">
        <v>0.34375</v>
      </c>
      <c r="U10" s="104">
        <f t="shared" ref="U10:U13" si="14">IF(S10=TIME(17,0,0),"",(S10-T9)*24*60)</f>
        <v>27.000000000000025</v>
      </c>
      <c r="V10" s="107">
        <f t="shared" si="13"/>
        <v>200.99999999999997</v>
      </c>
      <c r="W10" s="16"/>
      <c r="X10" s="16"/>
      <c r="Y10" s="16"/>
      <c r="Z10" s="16"/>
      <c r="AA10" s="617"/>
      <c r="AB10" s="617"/>
      <c r="AC10" s="35"/>
      <c r="AD10" s="18"/>
      <c r="AE10" s="14">
        <f t="shared" si="8"/>
        <v>-67.164179104477398</v>
      </c>
      <c r="AF10" s="103">
        <f t="shared" si="9"/>
        <v>0.95522388059701502</v>
      </c>
      <c r="AG10" s="615"/>
    </row>
    <row r="11" spans="1:33" ht="15.75" customHeight="1">
      <c r="A11" s="648" t="s">
        <v>7</v>
      </c>
      <c r="B11" s="29" t="s">
        <v>19</v>
      </c>
      <c r="C11" s="644" t="s">
        <v>83</v>
      </c>
      <c r="D11" s="645"/>
      <c r="E11" s="29">
        <v>39.46</v>
      </c>
      <c r="F11" s="108">
        <v>4300</v>
      </c>
      <c r="G11" s="104">
        <f t="shared" si="11"/>
        <v>169678</v>
      </c>
      <c r="H11" s="33">
        <v>2</v>
      </c>
      <c r="I11" s="106">
        <v>16</v>
      </c>
      <c r="J11" s="31">
        <v>1500</v>
      </c>
      <c r="K11" s="12">
        <f t="shared" si="1"/>
        <v>93.75</v>
      </c>
      <c r="L11" s="106">
        <v>16</v>
      </c>
      <c r="M11" s="13">
        <f t="shared" si="12"/>
        <v>1425.4143646408841</v>
      </c>
      <c r="N11" s="12">
        <f t="shared" si="3"/>
        <v>89.088397790055254</v>
      </c>
      <c r="O11" s="14">
        <f t="shared" si="4"/>
        <v>0</v>
      </c>
      <c r="P11" s="15">
        <f t="shared" si="5"/>
        <v>-4.6616022099447463</v>
      </c>
      <c r="Q11" s="103">
        <f t="shared" si="6"/>
        <v>0.95027624309392267</v>
      </c>
      <c r="R11" s="615"/>
      <c r="S11" s="34">
        <v>0.34791666666666665</v>
      </c>
      <c r="T11" s="34">
        <v>0.47361111111111109</v>
      </c>
      <c r="U11" s="104">
        <f t="shared" si="14"/>
        <v>5.9999999999999787</v>
      </c>
      <c r="V11" s="107">
        <f t="shared" si="13"/>
        <v>181</v>
      </c>
      <c r="W11" s="16">
        <f>T11</f>
        <v>0.47361111111111109</v>
      </c>
      <c r="X11" s="16">
        <f>S12</f>
        <v>0.51249999999999996</v>
      </c>
      <c r="Y11" s="16"/>
      <c r="Z11" s="16"/>
      <c r="AA11" s="617"/>
      <c r="AB11" s="617"/>
      <c r="AC11" s="35"/>
      <c r="AD11" s="18"/>
      <c r="AE11" s="14">
        <f t="shared" si="8"/>
        <v>-74.58563535911594</v>
      </c>
      <c r="AF11" s="103">
        <f t="shared" si="9"/>
        <v>0.95027624309392267</v>
      </c>
      <c r="AG11" s="615"/>
    </row>
    <row r="12" spans="1:33" ht="15.75" customHeight="1">
      <c r="A12" s="648" t="s">
        <v>7</v>
      </c>
      <c r="B12" s="29" t="s">
        <v>19</v>
      </c>
      <c r="C12" s="644" t="s">
        <v>21</v>
      </c>
      <c r="D12" s="645"/>
      <c r="E12" s="29">
        <v>39.799999999999997</v>
      </c>
      <c r="F12" s="108">
        <v>3652</v>
      </c>
      <c r="G12" s="104">
        <f t="shared" si="11"/>
        <v>145349.59999999998</v>
      </c>
      <c r="H12" s="33" t="s">
        <v>57</v>
      </c>
      <c r="I12" s="106">
        <v>17</v>
      </c>
      <c r="J12" s="31">
        <v>1500</v>
      </c>
      <c r="K12" s="12">
        <f t="shared" si="1"/>
        <v>88.235294117647058</v>
      </c>
      <c r="L12" s="106">
        <v>17</v>
      </c>
      <c r="M12" s="13">
        <f t="shared" si="12"/>
        <v>1432.1568627450986</v>
      </c>
      <c r="N12" s="12">
        <f t="shared" si="3"/>
        <v>84.244521337946978</v>
      </c>
      <c r="O12" s="14">
        <f t="shared" si="4"/>
        <v>0</v>
      </c>
      <c r="P12" s="15">
        <f t="shared" si="5"/>
        <v>-3.9907727797000803</v>
      </c>
      <c r="Q12" s="103">
        <f t="shared" si="6"/>
        <v>0.95477124183006579</v>
      </c>
      <c r="R12" s="615"/>
      <c r="S12" s="34">
        <v>0.51249999999999996</v>
      </c>
      <c r="T12" s="34">
        <v>0.61874999999999991</v>
      </c>
      <c r="U12" s="104">
        <f t="shared" si="14"/>
        <v>55.999999999999957</v>
      </c>
      <c r="V12" s="107">
        <f t="shared" si="13"/>
        <v>152.99999999999994</v>
      </c>
      <c r="W12" s="16"/>
      <c r="X12" s="16"/>
      <c r="Y12" s="16"/>
      <c r="Z12" s="16"/>
      <c r="AA12" s="624"/>
      <c r="AB12" s="625"/>
      <c r="AC12" s="35"/>
      <c r="AD12" s="18"/>
      <c r="AE12" s="14">
        <f t="shared" si="8"/>
        <v>-67.843137254901421</v>
      </c>
      <c r="AF12" s="103">
        <f t="shared" si="9"/>
        <v>0.95477124183006568</v>
      </c>
      <c r="AG12" s="615"/>
    </row>
    <row r="13" spans="1:33" ht="15.75" customHeight="1">
      <c r="A13" s="648" t="s">
        <v>174</v>
      </c>
      <c r="B13" s="29" t="s">
        <v>19</v>
      </c>
      <c r="C13" s="644" t="s">
        <v>20</v>
      </c>
      <c r="D13" s="645"/>
      <c r="E13" s="29">
        <v>39.619999999999997</v>
      </c>
      <c r="F13" s="108">
        <v>2463</v>
      </c>
      <c r="G13" s="104">
        <f t="shared" si="11"/>
        <v>97584.06</v>
      </c>
      <c r="H13" s="33" t="s">
        <v>57</v>
      </c>
      <c r="I13" s="106">
        <v>19</v>
      </c>
      <c r="J13" s="31">
        <v>1500</v>
      </c>
      <c r="K13" s="12">
        <f t="shared" si="1"/>
        <v>78.94736842105263</v>
      </c>
      <c r="L13" s="106">
        <v>19</v>
      </c>
      <c r="M13" s="13">
        <f t="shared" si="12"/>
        <v>1434.7572815533988</v>
      </c>
      <c r="N13" s="12">
        <f t="shared" si="3"/>
        <v>75.513541134389413</v>
      </c>
      <c r="O13" s="14">
        <f t="shared" si="4"/>
        <v>0</v>
      </c>
      <c r="P13" s="15">
        <f t="shared" si="5"/>
        <v>-3.4338272866632167</v>
      </c>
      <c r="Q13" s="103">
        <f t="shared" si="6"/>
        <v>0.95650485436893262</v>
      </c>
      <c r="R13" s="615"/>
      <c r="S13" s="34">
        <v>0.62430555555555545</v>
      </c>
      <c r="T13" s="34">
        <v>0.69583333333333319</v>
      </c>
      <c r="U13" s="104">
        <f t="shared" si="14"/>
        <v>7.9999999999999716</v>
      </c>
      <c r="V13" s="107">
        <f t="shared" si="13"/>
        <v>102.99999999999996</v>
      </c>
      <c r="W13" s="16"/>
      <c r="X13" s="16"/>
      <c r="Y13" s="19"/>
      <c r="Z13" s="19"/>
      <c r="AA13" s="624"/>
      <c r="AB13" s="625"/>
      <c r="AC13" s="35"/>
      <c r="AD13" s="18"/>
      <c r="AE13" s="14">
        <f t="shared" si="8"/>
        <v>-65.242718446601202</v>
      </c>
      <c r="AF13" s="103">
        <f t="shared" si="9"/>
        <v>0.95650485436893251</v>
      </c>
      <c r="AG13" s="615"/>
    </row>
    <row r="14" spans="1:33" ht="16.5" customHeight="1">
      <c r="A14" s="648" t="s">
        <v>7</v>
      </c>
      <c r="B14" s="29" t="s">
        <v>175</v>
      </c>
      <c r="C14" s="618"/>
      <c r="D14" s="618"/>
      <c r="E14" s="105"/>
      <c r="F14" s="31"/>
      <c r="G14" s="13"/>
      <c r="H14" s="108"/>
      <c r="I14" s="23">
        <v>17.600000000000001</v>
      </c>
      <c r="J14" s="31">
        <v>1500</v>
      </c>
      <c r="K14" s="12">
        <f t="shared" si="1"/>
        <v>85.22727272727272</v>
      </c>
      <c r="L14" s="23">
        <v>17.600000000000001</v>
      </c>
      <c r="M14" s="13">
        <f>AVERAGE(M9:M13)</f>
        <v>1430.7471516812666</v>
      </c>
      <c r="N14" s="12">
        <f t="shared" si="3"/>
        <v>81.292451800071959</v>
      </c>
      <c r="O14" s="14">
        <f t="shared" si="4"/>
        <v>0</v>
      </c>
      <c r="P14" s="15">
        <f t="shared" si="5"/>
        <v>-3.9348209272007608</v>
      </c>
      <c r="Q14" s="103">
        <f t="shared" si="6"/>
        <v>0.95383143445417773</v>
      </c>
      <c r="R14" s="615"/>
      <c r="S14" s="34"/>
      <c r="T14" s="34"/>
      <c r="U14" s="12"/>
      <c r="V14" s="107"/>
      <c r="W14" s="12"/>
      <c r="X14" s="12"/>
      <c r="Y14" s="24">
        <f>SUM(Y9:Y13)</f>
        <v>0</v>
      </c>
      <c r="Z14" s="24">
        <f>SUM(Z9:Z13)</f>
        <v>0</v>
      </c>
      <c r="AA14" s="614"/>
      <c r="AB14" s="614"/>
      <c r="AC14" s="24">
        <v>5</v>
      </c>
      <c r="AD14" s="24">
        <f>SUM(AD9:AD13)</f>
        <v>0</v>
      </c>
      <c r="AE14" s="14">
        <f t="shared" si="8"/>
        <v>-69.252848318733413</v>
      </c>
      <c r="AF14" s="103">
        <f t="shared" si="9"/>
        <v>0.95383143445417773</v>
      </c>
      <c r="AG14" s="615"/>
    </row>
    <row r="15" spans="1:33" ht="16.5" customHeight="1">
      <c r="A15" s="646" t="s">
        <v>176</v>
      </c>
      <c r="B15" s="108" t="s">
        <v>22</v>
      </c>
      <c r="C15" s="640" t="s">
        <v>23</v>
      </c>
      <c r="D15" s="640"/>
      <c r="E15" s="29">
        <v>41</v>
      </c>
      <c r="F15" s="108">
        <v>2085</v>
      </c>
      <c r="G15" s="104">
        <f t="shared" ref="G15:G21" si="15">E15*F15</f>
        <v>85485</v>
      </c>
      <c r="H15" s="33" t="s">
        <v>57</v>
      </c>
      <c r="I15" s="106">
        <v>26</v>
      </c>
      <c r="J15" s="31">
        <v>1500</v>
      </c>
      <c r="K15" s="12">
        <f t="shared" si="1"/>
        <v>57.692307692307693</v>
      </c>
      <c r="L15" s="106">
        <v>26</v>
      </c>
      <c r="M15" s="13">
        <f t="shared" ref="M15:M21" si="16">F15/V15*60</f>
        <v>1437.9310344827591</v>
      </c>
      <c r="N15" s="12">
        <f t="shared" si="3"/>
        <v>55.305039787798428</v>
      </c>
      <c r="O15" s="14">
        <f t="shared" si="4"/>
        <v>0</v>
      </c>
      <c r="P15" s="15">
        <f t="shared" si="5"/>
        <v>-2.3872679045092653</v>
      </c>
      <c r="Q15" s="103">
        <f t="shared" si="6"/>
        <v>0.95862068965517278</v>
      </c>
      <c r="R15" s="615">
        <f>Q22</f>
        <v>0.95938388982865974</v>
      </c>
      <c r="S15" s="34">
        <v>0.20833333333333334</v>
      </c>
      <c r="T15" s="34">
        <v>0.26874999999999999</v>
      </c>
      <c r="U15" s="104"/>
      <c r="V15" s="107">
        <f t="shared" ref="V15:V21" si="17">(T15-S15)*24*60</f>
        <v>86.999999999999972</v>
      </c>
      <c r="W15" s="21"/>
      <c r="X15" s="21"/>
      <c r="Y15" s="21"/>
      <c r="Z15" s="21"/>
      <c r="AA15" s="617"/>
      <c r="AB15" s="617"/>
      <c r="AC15" s="35">
        <v>7</v>
      </c>
      <c r="AD15" s="18"/>
      <c r="AE15" s="14">
        <f t="shared" si="8"/>
        <v>-62.06896551724094</v>
      </c>
      <c r="AF15" s="103">
        <f t="shared" si="9"/>
        <v>0.95862068965517266</v>
      </c>
      <c r="AG15" s="615">
        <f>AF22</f>
        <v>0.95938388982865963</v>
      </c>
    </row>
    <row r="16" spans="1:33" ht="16.5" customHeight="1">
      <c r="A16" s="647" t="s">
        <v>8</v>
      </c>
      <c r="B16" s="108" t="s">
        <v>22</v>
      </c>
      <c r="C16" s="640" t="s">
        <v>87</v>
      </c>
      <c r="D16" s="640"/>
      <c r="E16" s="29">
        <v>38.619999999999997</v>
      </c>
      <c r="F16" s="108">
        <v>2410</v>
      </c>
      <c r="G16" s="104">
        <f t="shared" si="15"/>
        <v>93074.2</v>
      </c>
      <c r="H16" s="33" t="s">
        <v>57</v>
      </c>
      <c r="I16" s="106">
        <v>24</v>
      </c>
      <c r="J16" s="31">
        <v>1500</v>
      </c>
      <c r="K16" s="12">
        <f t="shared" si="1"/>
        <v>62.5</v>
      </c>
      <c r="L16" s="106">
        <v>24</v>
      </c>
      <c r="M16" s="13">
        <f t="shared" si="16"/>
        <v>1431.6831683168311</v>
      </c>
      <c r="N16" s="12">
        <f t="shared" si="3"/>
        <v>59.653465346534631</v>
      </c>
      <c r="O16" s="14">
        <f t="shared" si="4"/>
        <v>0</v>
      </c>
      <c r="P16" s="15">
        <f t="shared" si="5"/>
        <v>-2.846534653465369</v>
      </c>
      <c r="Q16" s="103">
        <f t="shared" si="6"/>
        <v>0.95445544554455408</v>
      </c>
      <c r="R16" s="615"/>
      <c r="S16" s="34">
        <v>0.27430555555555552</v>
      </c>
      <c r="T16" s="34">
        <v>0.34444444444444444</v>
      </c>
      <c r="U16" s="104">
        <f t="shared" ref="U16:U21" si="18">IF(S16=TIME(17,0,0),"",(S16-T15)*24*60)</f>
        <v>7.9999999999999716</v>
      </c>
      <c r="V16" s="107">
        <f t="shared" si="17"/>
        <v>101.00000000000004</v>
      </c>
      <c r="W16" s="16"/>
      <c r="X16" s="16"/>
      <c r="Y16" s="16"/>
      <c r="Z16" s="16"/>
      <c r="AA16" s="617"/>
      <c r="AB16" s="617"/>
      <c r="AC16" s="35"/>
      <c r="AD16" s="18"/>
      <c r="AE16" s="14">
        <f t="shared" si="8"/>
        <v>-68.316831683168857</v>
      </c>
      <c r="AF16" s="103">
        <f t="shared" si="9"/>
        <v>0.95445544554455408</v>
      </c>
      <c r="AG16" s="615"/>
    </row>
    <row r="17" spans="1:33" ht="16.5" customHeight="1">
      <c r="A17" s="647" t="s">
        <v>176</v>
      </c>
      <c r="B17" s="108" t="s">
        <v>15</v>
      </c>
      <c r="C17" s="640" t="s">
        <v>86</v>
      </c>
      <c r="D17" s="640"/>
      <c r="E17" s="29">
        <v>37.03</v>
      </c>
      <c r="F17" s="108">
        <v>4165</v>
      </c>
      <c r="G17" s="104">
        <f t="shared" si="15"/>
        <v>154229.95000000001</v>
      </c>
      <c r="H17" s="33" t="s">
        <v>57</v>
      </c>
      <c r="I17" s="106">
        <v>13</v>
      </c>
      <c r="J17" s="31">
        <v>1500</v>
      </c>
      <c r="K17" s="12">
        <f t="shared" si="1"/>
        <v>115.38461538461539</v>
      </c>
      <c r="L17" s="106">
        <v>13</v>
      </c>
      <c r="M17" s="13">
        <f t="shared" si="16"/>
        <v>1427.9999999999998</v>
      </c>
      <c r="N17" s="12">
        <f t="shared" si="3"/>
        <v>109.84615384615383</v>
      </c>
      <c r="O17" s="14">
        <f t="shared" si="4"/>
        <v>0</v>
      </c>
      <c r="P17" s="15">
        <f t="shared" si="5"/>
        <v>-5.5384615384615614</v>
      </c>
      <c r="Q17" s="103">
        <f t="shared" si="6"/>
        <v>0.95199999999999985</v>
      </c>
      <c r="R17" s="615"/>
      <c r="S17" s="34">
        <v>0.34791666666666665</v>
      </c>
      <c r="T17" s="34">
        <v>0.46944444444444444</v>
      </c>
      <c r="U17" s="104">
        <f t="shared" si="18"/>
        <v>4.9999999999999822</v>
      </c>
      <c r="V17" s="107">
        <f t="shared" si="17"/>
        <v>175.00000000000003</v>
      </c>
      <c r="W17" s="16">
        <f>T17</f>
        <v>0.46944444444444444</v>
      </c>
      <c r="X17" s="16">
        <f>S18</f>
        <v>0.50972222222222219</v>
      </c>
      <c r="Y17" s="16"/>
      <c r="Z17" s="16"/>
      <c r="AA17" s="617"/>
      <c r="AB17" s="617"/>
      <c r="AC17" s="35"/>
      <c r="AD17" s="18"/>
      <c r="AE17" s="14">
        <f t="shared" si="8"/>
        <v>-72.000000000000227</v>
      </c>
      <c r="AF17" s="103">
        <f t="shared" si="9"/>
        <v>0.95199999999999985</v>
      </c>
      <c r="AG17" s="615"/>
    </row>
    <row r="18" spans="1:33" ht="16.5" customHeight="1">
      <c r="A18" s="647" t="s">
        <v>176</v>
      </c>
      <c r="B18" s="108" t="s">
        <v>19</v>
      </c>
      <c r="C18" s="640" t="s">
        <v>83</v>
      </c>
      <c r="D18" s="640"/>
      <c r="E18" s="29">
        <v>39.46</v>
      </c>
      <c r="F18" s="108">
        <v>3269</v>
      </c>
      <c r="G18" s="104">
        <f t="shared" si="15"/>
        <v>128994.74</v>
      </c>
      <c r="H18" s="33" t="s">
        <v>57</v>
      </c>
      <c r="I18" s="106">
        <v>16</v>
      </c>
      <c r="J18" s="31">
        <v>1500</v>
      </c>
      <c r="K18" s="12">
        <f t="shared" si="1"/>
        <v>93.75</v>
      </c>
      <c r="L18" s="106">
        <v>16</v>
      </c>
      <c r="M18" s="13">
        <f t="shared" si="16"/>
        <v>1431.6788321167883</v>
      </c>
      <c r="N18" s="12">
        <f t="shared" si="3"/>
        <v>89.479927007299267</v>
      </c>
      <c r="O18" s="14">
        <f t="shared" si="4"/>
        <v>0</v>
      </c>
      <c r="P18" s="15">
        <f t="shared" si="5"/>
        <v>-4.270072992700733</v>
      </c>
      <c r="Q18" s="103">
        <f t="shared" si="6"/>
        <v>0.95445255474452551</v>
      </c>
      <c r="R18" s="615"/>
      <c r="S18" s="34">
        <v>0.50972222222222219</v>
      </c>
      <c r="T18" s="34">
        <v>0.60486111111111107</v>
      </c>
      <c r="U18" s="104">
        <f t="shared" si="18"/>
        <v>57.999999999999957</v>
      </c>
      <c r="V18" s="107">
        <f t="shared" si="17"/>
        <v>137</v>
      </c>
      <c r="W18" s="16"/>
      <c r="X18" s="16"/>
      <c r="Y18" s="16"/>
      <c r="Z18" s="16"/>
      <c r="AA18" s="617"/>
      <c r="AB18" s="617"/>
      <c r="AC18" s="35"/>
      <c r="AD18" s="18"/>
      <c r="AE18" s="14">
        <f t="shared" si="8"/>
        <v>-68.321167883211729</v>
      </c>
      <c r="AF18" s="103">
        <f t="shared" si="9"/>
        <v>0.95445255474452551</v>
      </c>
      <c r="AG18" s="615"/>
    </row>
    <row r="19" spans="1:33" ht="16.5" customHeight="1">
      <c r="A19" s="647" t="s">
        <v>176</v>
      </c>
      <c r="B19" s="108" t="s">
        <v>15</v>
      </c>
      <c r="C19" s="640" t="s">
        <v>25</v>
      </c>
      <c r="D19" s="640"/>
      <c r="E19" s="29">
        <v>53.68</v>
      </c>
      <c r="F19" s="108">
        <v>1268</v>
      </c>
      <c r="G19" s="104">
        <f t="shared" si="15"/>
        <v>68066.240000000005</v>
      </c>
      <c r="H19" s="33" t="s">
        <v>57</v>
      </c>
      <c r="I19" s="106">
        <v>16</v>
      </c>
      <c r="J19" s="31">
        <v>1500</v>
      </c>
      <c r="K19" s="12">
        <f t="shared" si="1"/>
        <v>93.75</v>
      </c>
      <c r="L19" s="106">
        <v>16</v>
      </c>
      <c r="M19" s="13">
        <f t="shared" si="16"/>
        <v>1435.4716981132083</v>
      </c>
      <c r="N19" s="12">
        <f t="shared" si="3"/>
        <v>89.716981132075517</v>
      </c>
      <c r="O19" s="14">
        <f t="shared" si="4"/>
        <v>0</v>
      </c>
      <c r="P19" s="15">
        <f t="shared" si="5"/>
        <v>-4.0330188679244827</v>
      </c>
      <c r="Q19" s="103">
        <f t="shared" si="6"/>
        <v>0.9569811320754722</v>
      </c>
      <c r="R19" s="615"/>
      <c r="S19" s="34">
        <v>0.70833333333333337</v>
      </c>
      <c r="T19" s="34">
        <v>0.74513888888888891</v>
      </c>
      <c r="U19" s="104" t="str">
        <f t="shared" si="18"/>
        <v/>
      </c>
      <c r="V19" s="107">
        <f t="shared" si="17"/>
        <v>52.999999999999972</v>
      </c>
      <c r="W19" s="16"/>
      <c r="X19" s="16"/>
      <c r="Y19" s="16"/>
      <c r="Z19" s="16"/>
      <c r="AA19" s="617"/>
      <c r="AB19" s="617"/>
      <c r="AC19" s="35"/>
      <c r="AD19" s="18"/>
      <c r="AE19" s="14">
        <f t="shared" si="8"/>
        <v>-64.528301886791724</v>
      </c>
      <c r="AF19" s="103">
        <f t="shared" si="9"/>
        <v>0.9569811320754722</v>
      </c>
      <c r="AG19" s="615"/>
    </row>
    <row r="20" spans="1:33" ht="16.5" customHeight="1">
      <c r="A20" s="647" t="s">
        <v>176</v>
      </c>
      <c r="B20" s="108" t="s">
        <v>15</v>
      </c>
      <c r="C20" s="110" t="s">
        <v>18</v>
      </c>
      <c r="D20" s="111"/>
      <c r="E20" s="29">
        <v>52.86</v>
      </c>
      <c r="F20" s="108">
        <v>1547</v>
      </c>
      <c r="G20" s="104">
        <f t="shared" si="15"/>
        <v>81774.42</v>
      </c>
      <c r="H20" s="33" t="s">
        <v>57</v>
      </c>
      <c r="I20" s="106">
        <v>16</v>
      </c>
      <c r="J20" s="31">
        <v>2000</v>
      </c>
      <c r="K20" s="12">
        <f t="shared" si="1"/>
        <v>125</v>
      </c>
      <c r="L20" s="106">
        <v>16</v>
      </c>
      <c r="M20" s="13">
        <f t="shared" si="16"/>
        <v>1933.7500000000007</v>
      </c>
      <c r="N20" s="12">
        <f t="shared" si="3"/>
        <v>120.85937500000004</v>
      </c>
      <c r="O20" s="14">
        <f t="shared" si="4"/>
        <v>0</v>
      </c>
      <c r="P20" s="15">
        <f t="shared" si="5"/>
        <v>-4.1406249999999574</v>
      </c>
      <c r="Q20" s="103">
        <f t="shared" si="6"/>
        <v>0.96687500000000037</v>
      </c>
      <c r="R20" s="615"/>
      <c r="S20" s="34">
        <v>0.74861111111111112</v>
      </c>
      <c r="T20" s="34">
        <v>0.78194444444444444</v>
      </c>
      <c r="U20" s="104">
        <f t="shared" si="18"/>
        <v>4.9999999999999822</v>
      </c>
      <c r="V20" s="107">
        <f t="shared" si="17"/>
        <v>47.999999999999986</v>
      </c>
      <c r="W20" s="16"/>
      <c r="X20" s="16"/>
      <c r="Y20" s="19"/>
      <c r="Z20" s="19"/>
      <c r="AA20" s="99"/>
      <c r="AB20" s="100"/>
      <c r="AC20" s="35"/>
      <c r="AD20" s="18"/>
      <c r="AE20" s="14">
        <f t="shared" si="8"/>
        <v>-66.249999999999318</v>
      </c>
      <c r="AF20" s="103">
        <f t="shared" si="9"/>
        <v>0.96687500000000037</v>
      </c>
      <c r="AG20" s="615"/>
    </row>
    <row r="21" spans="1:33" ht="16.5" customHeight="1">
      <c r="A21" s="647" t="s">
        <v>176</v>
      </c>
      <c r="B21" s="108" t="s">
        <v>15</v>
      </c>
      <c r="C21" s="110" t="s">
        <v>16</v>
      </c>
      <c r="D21" s="111"/>
      <c r="E21" s="29">
        <v>50.67</v>
      </c>
      <c r="F21" s="108">
        <v>1612</v>
      </c>
      <c r="G21" s="104">
        <f t="shared" si="15"/>
        <v>81680.040000000008</v>
      </c>
      <c r="H21" s="33" t="s">
        <v>57</v>
      </c>
      <c r="I21" s="106">
        <v>17</v>
      </c>
      <c r="J21" s="31">
        <v>2000</v>
      </c>
      <c r="K21" s="12">
        <f t="shared" si="1"/>
        <v>117.64705882352941</v>
      </c>
      <c r="L21" s="106">
        <v>17</v>
      </c>
      <c r="M21" s="13">
        <f t="shared" si="16"/>
        <v>1934.4000000000005</v>
      </c>
      <c r="N21" s="12">
        <f t="shared" si="3"/>
        <v>113.78823529411768</v>
      </c>
      <c r="O21" s="14">
        <f t="shared" si="4"/>
        <v>0</v>
      </c>
      <c r="P21" s="15">
        <f t="shared" si="5"/>
        <v>-3.8588235294117226</v>
      </c>
      <c r="Q21" s="103">
        <f t="shared" si="6"/>
        <v>0.96720000000000039</v>
      </c>
      <c r="R21" s="615"/>
      <c r="S21" s="34">
        <v>0.78680555555555554</v>
      </c>
      <c r="T21" s="34">
        <v>0.82152777777777775</v>
      </c>
      <c r="U21" s="104">
        <f t="shared" si="18"/>
        <v>6.9999999999999751</v>
      </c>
      <c r="V21" s="107">
        <f t="shared" si="17"/>
        <v>49.999999999999986</v>
      </c>
      <c r="W21" s="16"/>
      <c r="X21" s="16"/>
      <c r="Y21" s="19"/>
      <c r="Z21" s="19"/>
      <c r="AA21" s="99"/>
      <c r="AB21" s="100"/>
      <c r="AC21" s="35"/>
      <c r="AD21" s="18"/>
      <c r="AE21" s="14">
        <f t="shared" si="8"/>
        <v>-65.599999999999454</v>
      </c>
      <c r="AF21" s="103">
        <f t="shared" si="9"/>
        <v>0.96720000000000028</v>
      </c>
      <c r="AG21" s="615"/>
    </row>
    <row r="22" spans="1:33" ht="16.5" customHeight="1">
      <c r="A22" s="647" t="s">
        <v>176</v>
      </c>
      <c r="B22" s="29" t="s">
        <v>6</v>
      </c>
      <c r="C22" s="618"/>
      <c r="D22" s="618"/>
      <c r="E22" s="105"/>
      <c r="F22" s="30"/>
      <c r="G22" s="12"/>
      <c r="H22" s="108"/>
      <c r="I22" s="23">
        <v>18.285714285714285</v>
      </c>
      <c r="J22" s="31">
        <v>1642.8571428571429</v>
      </c>
      <c r="K22" s="12">
        <f t="shared" si="1"/>
        <v>89.84375</v>
      </c>
      <c r="L22" s="23">
        <v>18.285714285714285</v>
      </c>
      <c r="M22" s="13">
        <f>AVERAGE(M15:M21)</f>
        <v>1576.1306761470837</v>
      </c>
      <c r="N22" s="12">
        <f t="shared" si="3"/>
        <v>86.194646351793651</v>
      </c>
      <c r="O22" s="14">
        <f t="shared" si="4"/>
        <v>0</v>
      </c>
      <c r="P22" s="15">
        <f t="shared" si="5"/>
        <v>-3.6491036482063492</v>
      </c>
      <c r="Q22" s="103">
        <f t="shared" si="6"/>
        <v>0.95938388982865974</v>
      </c>
      <c r="R22" s="615"/>
      <c r="S22" s="34"/>
      <c r="T22" s="34"/>
      <c r="U22" s="104"/>
      <c r="V22" s="107"/>
      <c r="W22" s="12"/>
      <c r="X22" s="12"/>
      <c r="Y22" s="24">
        <f>SUM(Y15:Y21)</f>
        <v>0</v>
      </c>
      <c r="Z22" s="24">
        <f>SUM(Z15:Z21)</f>
        <v>0</v>
      </c>
      <c r="AA22" s="614"/>
      <c r="AB22" s="614"/>
      <c r="AC22" s="24">
        <v>7</v>
      </c>
      <c r="AD22" s="24">
        <f>SUM(AD15:AD21)</f>
        <v>0</v>
      </c>
      <c r="AE22" s="14">
        <f t="shared" si="8"/>
        <v>-66.726466710059185</v>
      </c>
      <c r="AF22" s="103">
        <f t="shared" si="9"/>
        <v>0.95938388982865963</v>
      </c>
      <c r="AG22" s="615"/>
    </row>
    <row r="23" spans="1:33" ht="15.75" customHeight="1">
      <c r="A23" s="642" t="s">
        <v>9</v>
      </c>
      <c r="B23" s="29" t="s">
        <v>15</v>
      </c>
      <c r="C23" s="640" t="s">
        <v>24</v>
      </c>
      <c r="D23" s="640"/>
      <c r="E23" s="29">
        <v>54.09</v>
      </c>
      <c r="F23" s="108">
        <v>1835</v>
      </c>
      <c r="G23" s="104">
        <f t="shared" ref="G23:G29" si="19">E23*F23</f>
        <v>99255.150000000009</v>
      </c>
      <c r="H23" s="33" t="s">
        <v>57</v>
      </c>
      <c r="I23" s="106">
        <v>17</v>
      </c>
      <c r="J23" s="31">
        <v>1500</v>
      </c>
      <c r="K23" s="12">
        <f t="shared" si="1"/>
        <v>88.235294117647058</v>
      </c>
      <c r="L23" s="106">
        <v>17</v>
      </c>
      <c r="M23" s="13">
        <f t="shared" ref="M23:M29" si="20">F23/V23*60</f>
        <v>1448.6842105263156</v>
      </c>
      <c r="N23" s="12">
        <f t="shared" si="3"/>
        <v>85.216718266253864</v>
      </c>
      <c r="O23" s="14">
        <f t="shared" si="4"/>
        <v>0</v>
      </c>
      <c r="P23" s="15">
        <f t="shared" si="5"/>
        <v>-3.0185758513931944</v>
      </c>
      <c r="Q23" s="103">
        <f t="shared" si="6"/>
        <v>0.96578947368421042</v>
      </c>
      <c r="R23" s="615">
        <f>Q30</f>
        <v>0.95928069335914301</v>
      </c>
      <c r="S23" s="34">
        <v>0.20833333333333334</v>
      </c>
      <c r="T23" s="34">
        <v>0.26111111111111113</v>
      </c>
      <c r="U23" s="104"/>
      <c r="V23" s="107">
        <f t="shared" ref="V23:V29" si="21">(T23-S23)*24*60</f>
        <v>76.000000000000014</v>
      </c>
      <c r="W23" s="21"/>
      <c r="X23" s="21"/>
      <c r="Y23" s="21"/>
      <c r="Z23" s="21"/>
      <c r="AA23" s="617"/>
      <c r="AB23" s="617"/>
      <c r="AC23" s="35">
        <v>7</v>
      </c>
      <c r="AD23" s="18"/>
      <c r="AE23" s="14">
        <f t="shared" si="8"/>
        <v>-51.31578947368439</v>
      </c>
      <c r="AF23" s="103">
        <f t="shared" si="9"/>
        <v>0.96578947368421042</v>
      </c>
      <c r="AG23" s="615">
        <f>AF30</f>
        <v>0.9592806933591429</v>
      </c>
    </row>
    <row r="24" spans="1:33" ht="15.75" customHeight="1">
      <c r="A24" s="643" t="s">
        <v>9</v>
      </c>
      <c r="B24" s="29" t="s">
        <v>15</v>
      </c>
      <c r="C24" s="640" t="s">
        <v>28</v>
      </c>
      <c r="D24" s="640"/>
      <c r="E24" s="29">
        <v>50.67</v>
      </c>
      <c r="F24" s="108">
        <v>2234</v>
      </c>
      <c r="G24" s="104">
        <f t="shared" si="19"/>
        <v>113196.78</v>
      </c>
      <c r="H24" s="33" t="s">
        <v>57</v>
      </c>
      <c r="I24" s="106">
        <v>17</v>
      </c>
      <c r="J24" s="31">
        <v>2000</v>
      </c>
      <c r="K24" s="12">
        <f t="shared" si="1"/>
        <v>117.64705882352941</v>
      </c>
      <c r="L24" s="106">
        <v>17</v>
      </c>
      <c r="M24" s="13">
        <f t="shared" si="20"/>
        <v>1914.8571428571433</v>
      </c>
      <c r="N24" s="12">
        <f t="shared" si="3"/>
        <v>112.6386554621849</v>
      </c>
      <c r="O24" s="14">
        <f t="shared" si="4"/>
        <v>0</v>
      </c>
      <c r="P24" s="15">
        <f t="shared" si="5"/>
        <v>-5.0084033613445058</v>
      </c>
      <c r="Q24" s="103">
        <f t="shared" si="6"/>
        <v>0.95742857142857174</v>
      </c>
      <c r="R24" s="615"/>
      <c r="S24" s="34">
        <v>0.26458333333333334</v>
      </c>
      <c r="T24" s="34">
        <v>0.31319444444444444</v>
      </c>
      <c r="U24" s="104">
        <f t="shared" ref="U24:U29" si="22">IF(S24=TIME(17,0,0),"",(S24-T23)*24*60)</f>
        <v>4.9999999999999822</v>
      </c>
      <c r="V24" s="107">
        <f t="shared" si="21"/>
        <v>69.999999999999986</v>
      </c>
      <c r="W24" s="16"/>
      <c r="X24" s="104"/>
      <c r="Y24" s="104"/>
      <c r="Z24" s="104"/>
      <c r="AA24" s="617"/>
      <c r="AB24" s="617"/>
      <c r="AC24" s="35"/>
      <c r="AD24" s="18"/>
      <c r="AE24" s="14">
        <f t="shared" si="8"/>
        <v>-85.142857142856656</v>
      </c>
      <c r="AF24" s="103">
        <f t="shared" si="9"/>
        <v>0.95742857142857163</v>
      </c>
      <c r="AG24" s="615"/>
    </row>
    <row r="25" spans="1:33" ht="15.75" customHeight="1">
      <c r="A25" s="643" t="s">
        <v>9</v>
      </c>
      <c r="B25" s="29" t="s">
        <v>15</v>
      </c>
      <c r="C25" s="640" t="s">
        <v>29</v>
      </c>
      <c r="D25" s="640"/>
      <c r="E25" s="29">
        <v>57.73</v>
      </c>
      <c r="F25" s="108">
        <v>2718</v>
      </c>
      <c r="G25" s="104">
        <f t="shared" si="19"/>
        <v>156910.13999999998</v>
      </c>
      <c r="H25" s="33" t="s">
        <v>57</v>
      </c>
      <c r="I25" s="106">
        <v>14</v>
      </c>
      <c r="J25" s="31">
        <v>2000</v>
      </c>
      <c r="K25" s="12">
        <f t="shared" si="1"/>
        <v>142.85714285714286</v>
      </c>
      <c r="L25" s="106">
        <v>14</v>
      </c>
      <c r="M25" s="13">
        <f t="shared" si="20"/>
        <v>1918.5882352941171</v>
      </c>
      <c r="N25" s="12">
        <f t="shared" si="3"/>
        <v>137.04201680672264</v>
      </c>
      <c r="O25" s="14">
        <f t="shared" si="4"/>
        <v>0</v>
      </c>
      <c r="P25" s="15">
        <f t="shared" si="5"/>
        <v>-5.8151260504202185</v>
      </c>
      <c r="Q25" s="103">
        <f t="shared" si="6"/>
        <v>0.95929411764705852</v>
      </c>
      <c r="R25" s="615"/>
      <c r="S25" s="34">
        <v>0.31805555555555554</v>
      </c>
      <c r="T25" s="34">
        <v>0.37708333333333333</v>
      </c>
      <c r="U25" s="104">
        <f t="shared" si="22"/>
        <v>6.9999999999999751</v>
      </c>
      <c r="V25" s="107">
        <f t="shared" si="21"/>
        <v>85.000000000000014</v>
      </c>
      <c r="W25" s="16"/>
      <c r="X25" s="104"/>
      <c r="Y25" s="104"/>
      <c r="Z25" s="104"/>
      <c r="AA25" s="617"/>
      <c r="AB25" s="617"/>
      <c r="AC25" s="35"/>
      <c r="AD25" s="18"/>
      <c r="AE25" s="14">
        <f t="shared" si="8"/>
        <v>-81.411764705882888</v>
      </c>
      <c r="AF25" s="103">
        <f t="shared" si="9"/>
        <v>0.95929411764705852</v>
      </c>
      <c r="AG25" s="615"/>
    </row>
    <row r="26" spans="1:33" ht="15.75" customHeight="1">
      <c r="A26" s="643" t="s">
        <v>9</v>
      </c>
      <c r="B26" s="29" t="s">
        <v>15</v>
      </c>
      <c r="C26" s="640" t="s">
        <v>80</v>
      </c>
      <c r="D26" s="640"/>
      <c r="E26" s="29">
        <v>53.27</v>
      </c>
      <c r="F26" s="108">
        <v>2203</v>
      </c>
      <c r="G26" s="104">
        <f t="shared" si="19"/>
        <v>117353.81000000001</v>
      </c>
      <c r="H26" s="33" t="s">
        <v>57</v>
      </c>
      <c r="I26" s="106">
        <v>16</v>
      </c>
      <c r="J26" s="31">
        <v>2000</v>
      </c>
      <c r="K26" s="12">
        <f t="shared" si="1"/>
        <v>125</v>
      </c>
      <c r="L26" s="106">
        <v>16</v>
      </c>
      <c r="M26" s="13">
        <f t="shared" si="20"/>
        <v>1915.6521739130435</v>
      </c>
      <c r="N26" s="12">
        <f t="shared" si="3"/>
        <v>119.72826086956522</v>
      </c>
      <c r="O26" s="14">
        <f t="shared" si="4"/>
        <v>0</v>
      </c>
      <c r="P26" s="15">
        <f t="shared" si="5"/>
        <v>-5.2717391304347814</v>
      </c>
      <c r="Q26" s="103">
        <f t="shared" si="6"/>
        <v>0.95782608695652172</v>
      </c>
      <c r="R26" s="615"/>
      <c r="S26" s="34">
        <v>0.38194444444444442</v>
      </c>
      <c r="T26" s="34">
        <v>0.42986111111111108</v>
      </c>
      <c r="U26" s="104">
        <f t="shared" si="22"/>
        <v>6.9999999999999751</v>
      </c>
      <c r="V26" s="107">
        <f t="shared" si="21"/>
        <v>69</v>
      </c>
      <c r="W26" s="16"/>
      <c r="X26" s="104"/>
      <c r="Y26" s="104"/>
      <c r="Z26" s="104"/>
      <c r="AA26" s="617"/>
      <c r="AB26" s="617"/>
      <c r="AC26" s="35"/>
      <c r="AD26" s="18"/>
      <c r="AE26" s="14">
        <f t="shared" si="8"/>
        <v>-84.347826086956502</v>
      </c>
      <c r="AF26" s="103">
        <f t="shared" si="9"/>
        <v>0.95782608695652172</v>
      </c>
      <c r="AG26" s="615"/>
    </row>
    <row r="27" spans="1:33" ht="15.75" customHeight="1">
      <c r="A27" s="643" t="s">
        <v>177</v>
      </c>
      <c r="B27" s="29" t="s">
        <v>15</v>
      </c>
      <c r="C27" s="640" t="s">
        <v>30</v>
      </c>
      <c r="D27" s="640"/>
      <c r="E27" s="29">
        <v>50.49</v>
      </c>
      <c r="F27" s="108">
        <v>2142</v>
      </c>
      <c r="G27" s="104">
        <f t="shared" si="19"/>
        <v>108149.58</v>
      </c>
      <c r="H27" s="33" t="s">
        <v>57</v>
      </c>
      <c r="I27" s="106">
        <v>15</v>
      </c>
      <c r="J27" s="31">
        <v>2000</v>
      </c>
      <c r="K27" s="12">
        <f t="shared" si="1"/>
        <v>133.33333333333334</v>
      </c>
      <c r="L27" s="106">
        <v>15</v>
      </c>
      <c r="M27" s="13">
        <f t="shared" si="20"/>
        <v>1918.2089552238783</v>
      </c>
      <c r="N27" s="12">
        <f t="shared" si="3"/>
        <v>127.88059701492521</v>
      </c>
      <c r="O27" s="14">
        <f t="shared" si="4"/>
        <v>0</v>
      </c>
      <c r="P27" s="15">
        <f t="shared" si="5"/>
        <v>-5.4527363184081281</v>
      </c>
      <c r="Q27" s="103">
        <f t="shared" si="6"/>
        <v>0.95910447761193907</v>
      </c>
      <c r="R27" s="615"/>
      <c r="S27" s="34">
        <v>0.70833333333333337</v>
      </c>
      <c r="T27" s="34">
        <v>0.7548611111111112</v>
      </c>
      <c r="U27" s="104" t="str">
        <f t="shared" si="22"/>
        <v/>
      </c>
      <c r="V27" s="107">
        <f t="shared" si="21"/>
        <v>67.000000000000085</v>
      </c>
      <c r="W27" s="16"/>
      <c r="X27" s="16"/>
      <c r="Y27" s="104"/>
      <c r="Z27" s="104"/>
      <c r="AA27" s="617"/>
      <c r="AB27" s="617"/>
      <c r="AC27" s="35"/>
      <c r="AD27" s="18"/>
      <c r="AE27" s="14">
        <f t="shared" si="8"/>
        <v>-81.79104477612168</v>
      </c>
      <c r="AF27" s="103">
        <f t="shared" si="9"/>
        <v>0.95910447761193918</v>
      </c>
      <c r="AG27" s="615"/>
    </row>
    <row r="28" spans="1:33" ht="15.75" customHeight="1">
      <c r="A28" s="643" t="s">
        <v>177</v>
      </c>
      <c r="B28" s="29" t="s">
        <v>15</v>
      </c>
      <c r="C28" s="640" t="s">
        <v>85</v>
      </c>
      <c r="D28" s="640"/>
      <c r="E28" s="29">
        <v>56.43</v>
      </c>
      <c r="F28" s="108">
        <v>2180</v>
      </c>
      <c r="G28" s="104">
        <f t="shared" si="19"/>
        <v>123017.4</v>
      </c>
      <c r="H28" s="33" t="s">
        <v>57</v>
      </c>
      <c r="I28" s="106">
        <v>13</v>
      </c>
      <c r="J28" s="31">
        <v>2000</v>
      </c>
      <c r="K28" s="12">
        <f t="shared" si="1"/>
        <v>153.84615384615384</v>
      </c>
      <c r="L28" s="106">
        <v>13</v>
      </c>
      <c r="M28" s="13">
        <f t="shared" si="20"/>
        <v>1923.5294117647036</v>
      </c>
      <c r="N28" s="12">
        <f t="shared" si="3"/>
        <v>147.96380090497721</v>
      </c>
      <c r="O28" s="14">
        <f t="shared" si="4"/>
        <v>0</v>
      </c>
      <c r="P28" s="15">
        <f t="shared" si="5"/>
        <v>-5.8823529411766344</v>
      </c>
      <c r="Q28" s="103">
        <f t="shared" si="6"/>
        <v>0.96176470588235186</v>
      </c>
      <c r="R28" s="615"/>
      <c r="S28" s="34">
        <v>0.76041666666666674</v>
      </c>
      <c r="T28" s="34">
        <v>0.80763888888888902</v>
      </c>
      <c r="U28" s="104">
        <f t="shared" si="22"/>
        <v>7.9999999999999716</v>
      </c>
      <c r="V28" s="107">
        <f t="shared" si="21"/>
        <v>68.000000000000085</v>
      </c>
      <c r="W28" s="16"/>
      <c r="X28" s="21"/>
      <c r="Y28" s="21"/>
      <c r="Z28" s="21"/>
      <c r="AA28" s="617"/>
      <c r="AB28" s="617"/>
      <c r="AC28" s="35"/>
      <c r="AD28" s="18"/>
      <c r="AE28" s="14">
        <f t="shared" si="8"/>
        <v>-76.470588235296418</v>
      </c>
      <c r="AF28" s="103">
        <f t="shared" si="9"/>
        <v>0.96176470588235174</v>
      </c>
      <c r="AG28" s="615"/>
    </row>
    <row r="29" spans="1:33" ht="15.75" customHeight="1">
      <c r="A29" s="643" t="s">
        <v>9</v>
      </c>
      <c r="B29" s="29" t="s">
        <v>15</v>
      </c>
      <c r="C29" s="666" t="s">
        <v>31</v>
      </c>
      <c r="D29" s="667"/>
      <c r="E29" s="29">
        <v>50.98</v>
      </c>
      <c r="F29" s="108">
        <v>1242</v>
      </c>
      <c r="G29" s="104">
        <f t="shared" si="19"/>
        <v>63317.159999999996</v>
      </c>
      <c r="H29" s="33" t="s">
        <v>57</v>
      </c>
      <c r="I29" s="106">
        <v>16</v>
      </c>
      <c r="J29" s="31">
        <v>2000</v>
      </c>
      <c r="K29" s="12">
        <f t="shared" si="1"/>
        <v>125</v>
      </c>
      <c r="L29" s="106">
        <v>16</v>
      </c>
      <c r="M29" s="13">
        <f t="shared" si="20"/>
        <v>1910.7692307692298</v>
      </c>
      <c r="N29" s="12">
        <f t="shared" si="3"/>
        <v>119.42307692307686</v>
      </c>
      <c r="O29" s="14">
        <f t="shared" si="4"/>
        <v>0</v>
      </c>
      <c r="P29" s="15">
        <f t="shared" si="5"/>
        <v>-5.576923076923137</v>
      </c>
      <c r="Q29" s="103">
        <f t="shared" si="6"/>
        <v>0.95538461538461494</v>
      </c>
      <c r="R29" s="615"/>
      <c r="S29" s="34">
        <v>0.81111111111111123</v>
      </c>
      <c r="T29" s="34">
        <v>0.83819444444444458</v>
      </c>
      <c r="U29" s="104">
        <f t="shared" si="22"/>
        <v>4.9999999999999822</v>
      </c>
      <c r="V29" s="107">
        <f t="shared" si="21"/>
        <v>39.000000000000021</v>
      </c>
      <c r="W29" s="16"/>
      <c r="X29" s="21"/>
      <c r="Y29" s="22"/>
      <c r="Z29" s="22"/>
      <c r="AA29" s="624"/>
      <c r="AB29" s="625"/>
      <c r="AC29" s="35"/>
      <c r="AD29" s="18"/>
      <c r="AE29" s="14">
        <f t="shared" si="8"/>
        <v>-89.230769230770193</v>
      </c>
      <c r="AF29" s="103">
        <f t="shared" si="9"/>
        <v>0.95538461538461494</v>
      </c>
      <c r="AG29" s="615"/>
    </row>
    <row r="30" spans="1:33" ht="15.75" customHeight="1">
      <c r="A30" s="643" t="s">
        <v>177</v>
      </c>
      <c r="B30" s="29" t="s">
        <v>175</v>
      </c>
      <c r="C30" s="618"/>
      <c r="D30" s="618"/>
      <c r="E30" s="105"/>
      <c r="F30" s="108"/>
      <c r="G30" s="104"/>
      <c r="H30" s="108"/>
      <c r="I30" s="23">
        <v>15.428571428571429</v>
      </c>
      <c r="J30" s="31">
        <v>1928.5714285714287</v>
      </c>
      <c r="K30" s="12">
        <f t="shared" si="1"/>
        <v>125</v>
      </c>
      <c r="L30" s="23">
        <v>15.428571428571429</v>
      </c>
      <c r="M30" s="13">
        <f>AVERAGE(M23:M29)</f>
        <v>1850.0413371926329</v>
      </c>
      <c r="N30" s="12">
        <f t="shared" si="3"/>
        <v>119.91008666989288</v>
      </c>
      <c r="O30" s="14">
        <f t="shared" si="4"/>
        <v>0</v>
      </c>
      <c r="P30" s="15">
        <f t="shared" si="5"/>
        <v>-5.0899133301071231</v>
      </c>
      <c r="Q30" s="103">
        <f t="shared" si="6"/>
        <v>0.95928069335914301</v>
      </c>
      <c r="R30" s="615"/>
      <c r="S30" s="34"/>
      <c r="T30" s="34"/>
      <c r="U30" s="12"/>
      <c r="V30" s="107"/>
      <c r="W30" s="12"/>
      <c r="X30" s="12"/>
      <c r="Y30" s="24">
        <f>SUM(Y23:Y29)</f>
        <v>0</v>
      </c>
      <c r="Z30" s="24">
        <f>SUM(Z23:Z29)</f>
        <v>0</v>
      </c>
      <c r="AA30" s="614"/>
      <c r="AB30" s="614"/>
      <c r="AC30" s="24">
        <v>7</v>
      </c>
      <c r="AD30" s="24">
        <f>SUM(AD23:AD29)</f>
        <v>0</v>
      </c>
      <c r="AE30" s="14">
        <f t="shared" si="8"/>
        <v>-78.53009137879576</v>
      </c>
      <c r="AF30" s="103">
        <f t="shared" si="9"/>
        <v>0.9592806933591429</v>
      </c>
      <c r="AG30" s="615"/>
    </row>
    <row r="31" spans="1:33" ht="15.75" customHeight="1">
      <c r="A31" s="641" t="s">
        <v>10</v>
      </c>
      <c r="B31" s="29" t="s">
        <v>32</v>
      </c>
      <c r="C31" s="640" t="s">
        <v>33</v>
      </c>
      <c r="D31" s="640"/>
      <c r="E31" s="29">
        <v>31.29</v>
      </c>
      <c r="F31" s="108">
        <v>6300</v>
      </c>
      <c r="G31" s="104">
        <f t="shared" ref="G31:G37" si="23">E31*F31</f>
        <v>197127</v>
      </c>
      <c r="H31" s="33">
        <v>2</v>
      </c>
      <c r="I31" s="106">
        <v>18</v>
      </c>
      <c r="J31" s="31">
        <v>2400</v>
      </c>
      <c r="K31" s="12">
        <f t="shared" si="1"/>
        <v>133.33333333333334</v>
      </c>
      <c r="L31" s="106">
        <v>18</v>
      </c>
      <c r="M31" s="13">
        <f t="shared" ref="M31:M37" si="24">F31/V31*60</f>
        <v>2290.909090909091</v>
      </c>
      <c r="N31" s="12">
        <f t="shared" si="3"/>
        <v>127.27272727272728</v>
      </c>
      <c r="O31" s="14">
        <f t="shared" si="4"/>
        <v>0</v>
      </c>
      <c r="P31" s="15">
        <f t="shared" si="5"/>
        <v>-6.0606060606060623</v>
      </c>
      <c r="Q31" s="103">
        <f t="shared" si="6"/>
        <v>0.95454545454545459</v>
      </c>
      <c r="R31" s="615">
        <f>Q38</f>
        <v>0.95362484418387328</v>
      </c>
      <c r="S31" s="34">
        <v>8.3333333333333329E-2</v>
      </c>
      <c r="T31" s="34">
        <v>0.19791666666666666</v>
      </c>
      <c r="U31" s="104"/>
      <c r="V31" s="107">
        <f t="shared" ref="V31:V37" si="25">(T31-S31)*24*60</f>
        <v>165</v>
      </c>
      <c r="W31" s="16">
        <f>T31</f>
        <v>0.19791666666666666</v>
      </c>
      <c r="X31" s="16">
        <f>S32</f>
        <v>0.21736111111111112</v>
      </c>
      <c r="Y31" s="16"/>
      <c r="Z31" s="16"/>
      <c r="AA31" s="617"/>
      <c r="AB31" s="617"/>
      <c r="AC31" s="35">
        <v>7</v>
      </c>
      <c r="AD31" s="18"/>
      <c r="AE31" s="14">
        <f t="shared" si="8"/>
        <v>-109.09090909090901</v>
      </c>
      <c r="AF31" s="103">
        <f t="shared" si="9"/>
        <v>0.95454545454545459</v>
      </c>
      <c r="AG31" s="615">
        <f>AF38</f>
        <v>0.95362484418387317</v>
      </c>
    </row>
    <row r="32" spans="1:33" ht="15.75" customHeight="1">
      <c r="A32" s="641" t="s">
        <v>10</v>
      </c>
      <c r="B32" s="29" t="s">
        <v>32</v>
      </c>
      <c r="C32" s="640" t="s">
        <v>34</v>
      </c>
      <c r="D32" s="640"/>
      <c r="E32" s="29">
        <v>26.37</v>
      </c>
      <c r="F32" s="108">
        <v>4200</v>
      </c>
      <c r="G32" s="104">
        <f t="shared" si="23"/>
        <v>110754</v>
      </c>
      <c r="H32" s="33">
        <v>2</v>
      </c>
      <c r="I32" s="106">
        <v>18</v>
      </c>
      <c r="J32" s="31">
        <v>2400</v>
      </c>
      <c r="K32" s="12">
        <f t="shared" si="1"/>
        <v>133.33333333333334</v>
      </c>
      <c r="L32" s="106">
        <v>18</v>
      </c>
      <c r="M32" s="13">
        <f t="shared" si="24"/>
        <v>2290.909090909091</v>
      </c>
      <c r="N32" s="12">
        <f t="shared" si="3"/>
        <v>127.27272727272728</v>
      </c>
      <c r="O32" s="14">
        <f t="shared" si="4"/>
        <v>0</v>
      </c>
      <c r="P32" s="15">
        <f t="shared" si="5"/>
        <v>-6.0606060606060623</v>
      </c>
      <c r="Q32" s="103">
        <f t="shared" si="6"/>
        <v>0.95454545454545459</v>
      </c>
      <c r="R32" s="615"/>
      <c r="S32" s="34">
        <v>0.21736111111111112</v>
      </c>
      <c r="T32" s="34">
        <v>0.29375000000000001</v>
      </c>
      <c r="U32" s="104">
        <f t="shared" ref="U32:U37" si="26">(S32-T31)*24*60</f>
        <v>28.000000000000021</v>
      </c>
      <c r="V32" s="107">
        <f t="shared" si="25"/>
        <v>110.00000000000001</v>
      </c>
      <c r="W32" s="16"/>
      <c r="X32" s="16"/>
      <c r="Y32" s="16"/>
      <c r="Z32" s="16"/>
      <c r="AA32" s="617"/>
      <c r="AB32" s="617"/>
      <c r="AC32" s="35"/>
      <c r="AD32" s="18"/>
      <c r="AE32" s="14">
        <f t="shared" si="8"/>
        <v>-109.09090909090901</v>
      </c>
      <c r="AF32" s="103">
        <f t="shared" si="9"/>
        <v>0.95454545454545459</v>
      </c>
      <c r="AG32" s="615"/>
    </row>
    <row r="33" spans="1:33" ht="15.75" customHeight="1">
      <c r="A33" s="641" t="s">
        <v>10</v>
      </c>
      <c r="B33" s="29" t="s">
        <v>32</v>
      </c>
      <c r="C33" s="640" t="s">
        <v>76</v>
      </c>
      <c r="D33" s="640"/>
      <c r="E33" s="29">
        <v>26.18</v>
      </c>
      <c r="F33" s="108">
        <v>5100</v>
      </c>
      <c r="G33" s="104">
        <f t="shared" si="23"/>
        <v>133518</v>
      </c>
      <c r="H33" s="33">
        <v>2</v>
      </c>
      <c r="I33" s="106">
        <v>18</v>
      </c>
      <c r="J33" s="31">
        <v>2400</v>
      </c>
      <c r="K33" s="12">
        <f t="shared" si="1"/>
        <v>133.33333333333334</v>
      </c>
      <c r="L33" s="106">
        <v>18</v>
      </c>
      <c r="M33" s="13">
        <f t="shared" si="24"/>
        <v>2283.5820895522388</v>
      </c>
      <c r="N33" s="12">
        <f t="shared" si="3"/>
        <v>126.86567164179104</v>
      </c>
      <c r="O33" s="14">
        <f t="shared" si="4"/>
        <v>0</v>
      </c>
      <c r="P33" s="15">
        <f t="shared" si="5"/>
        <v>-6.467661691542304</v>
      </c>
      <c r="Q33" s="103">
        <f t="shared" si="6"/>
        <v>0.95149253731343275</v>
      </c>
      <c r="R33" s="615"/>
      <c r="S33" s="34">
        <v>0.29930555555555555</v>
      </c>
      <c r="T33" s="34">
        <v>0.3923611111111111</v>
      </c>
      <c r="U33" s="104">
        <f t="shared" si="26"/>
        <v>7.9999999999999716</v>
      </c>
      <c r="V33" s="107">
        <f t="shared" si="25"/>
        <v>134</v>
      </c>
      <c r="W33" s="16"/>
      <c r="X33" s="16"/>
      <c r="Y33" s="16"/>
      <c r="Z33" s="16"/>
      <c r="AA33" s="617"/>
      <c r="AB33" s="617"/>
      <c r="AC33" s="35"/>
      <c r="AD33" s="18"/>
      <c r="AE33" s="14">
        <f t="shared" si="8"/>
        <v>-116.41791044776119</v>
      </c>
      <c r="AF33" s="103">
        <f t="shared" si="9"/>
        <v>0.95149253731343286</v>
      </c>
      <c r="AG33" s="615"/>
    </row>
    <row r="34" spans="1:33" ht="15.75" customHeight="1">
      <c r="A34" s="641" t="s">
        <v>10</v>
      </c>
      <c r="B34" s="29" t="s">
        <v>32</v>
      </c>
      <c r="C34" s="640" t="s">
        <v>35</v>
      </c>
      <c r="D34" s="640"/>
      <c r="E34" s="29">
        <v>25.99</v>
      </c>
      <c r="F34" s="108">
        <v>4688</v>
      </c>
      <c r="G34" s="104">
        <f t="shared" si="23"/>
        <v>121841.12</v>
      </c>
      <c r="H34" s="33" t="s">
        <v>57</v>
      </c>
      <c r="I34" s="106">
        <v>14</v>
      </c>
      <c r="J34" s="31">
        <v>2400</v>
      </c>
      <c r="K34" s="12">
        <f t="shared" si="1"/>
        <v>171.42857142857142</v>
      </c>
      <c r="L34" s="106">
        <v>14</v>
      </c>
      <c r="M34" s="13">
        <f t="shared" si="24"/>
        <v>2286.8292682926835</v>
      </c>
      <c r="N34" s="12">
        <f t="shared" si="3"/>
        <v>163.34494773519168</v>
      </c>
      <c r="O34" s="14">
        <f t="shared" si="4"/>
        <v>0</v>
      </c>
      <c r="P34" s="15">
        <f t="shared" si="5"/>
        <v>-8.0836236933797352</v>
      </c>
      <c r="Q34" s="103">
        <f t="shared" si="6"/>
        <v>0.95284552845528492</v>
      </c>
      <c r="R34" s="615"/>
      <c r="S34" s="34">
        <v>0.3972222222222222</v>
      </c>
      <c r="T34" s="34">
        <v>0.48263888888888884</v>
      </c>
      <c r="U34" s="104">
        <f t="shared" si="26"/>
        <v>6.9999999999999751</v>
      </c>
      <c r="V34" s="107">
        <f t="shared" si="25"/>
        <v>122.99999999999996</v>
      </c>
      <c r="W34" s="16">
        <f>T34</f>
        <v>0.48263888888888884</v>
      </c>
      <c r="X34" s="16">
        <f>S35</f>
        <v>0.52291666666666659</v>
      </c>
      <c r="Y34" s="16"/>
      <c r="Z34" s="16"/>
      <c r="AA34" s="617"/>
      <c r="AB34" s="617"/>
      <c r="AC34" s="35"/>
      <c r="AD34" s="18"/>
      <c r="AE34" s="14">
        <f t="shared" si="8"/>
        <v>-113.17073170731646</v>
      </c>
      <c r="AF34" s="103">
        <f t="shared" si="9"/>
        <v>0.95284552845528481</v>
      </c>
      <c r="AG34" s="615"/>
    </row>
    <row r="35" spans="1:33" ht="15.75" customHeight="1">
      <c r="A35" s="641" t="s">
        <v>10</v>
      </c>
      <c r="B35" s="29" t="s">
        <v>32</v>
      </c>
      <c r="C35" s="640" t="s">
        <v>33</v>
      </c>
      <c r="D35" s="640"/>
      <c r="E35" s="29">
        <v>31.29</v>
      </c>
      <c r="F35" s="108">
        <v>4499</v>
      </c>
      <c r="G35" s="104">
        <f t="shared" si="23"/>
        <v>140773.71</v>
      </c>
      <c r="H35" s="33" t="s">
        <v>57</v>
      </c>
      <c r="I35" s="106">
        <v>18</v>
      </c>
      <c r="J35" s="31">
        <v>2400</v>
      </c>
      <c r="K35" s="12">
        <f t="shared" si="1"/>
        <v>133.33333333333334</v>
      </c>
      <c r="L35" s="106">
        <v>18</v>
      </c>
      <c r="M35" s="13">
        <f t="shared" si="24"/>
        <v>2287.6271186440667</v>
      </c>
      <c r="N35" s="12">
        <f t="shared" si="3"/>
        <v>127.09039548022594</v>
      </c>
      <c r="O35" s="14">
        <f t="shared" si="4"/>
        <v>0</v>
      </c>
      <c r="P35" s="15">
        <f t="shared" si="5"/>
        <v>-6.2429378531074065</v>
      </c>
      <c r="Q35" s="103">
        <f t="shared" si="6"/>
        <v>0.95317796610169447</v>
      </c>
      <c r="R35" s="615"/>
      <c r="S35" s="34">
        <v>0.52291666666666659</v>
      </c>
      <c r="T35" s="34">
        <v>0.60486111111111107</v>
      </c>
      <c r="U35" s="104">
        <f t="shared" si="26"/>
        <v>57.999999999999957</v>
      </c>
      <c r="V35" s="107">
        <f t="shared" si="25"/>
        <v>118.00000000000006</v>
      </c>
      <c r="W35" s="16"/>
      <c r="X35" s="16"/>
      <c r="Y35" s="16"/>
      <c r="Z35" s="16"/>
      <c r="AA35" s="617"/>
      <c r="AB35" s="617"/>
      <c r="AC35" s="35"/>
      <c r="AD35" s="18"/>
      <c r="AE35" s="14">
        <f t="shared" si="8"/>
        <v>-112.37288135593326</v>
      </c>
      <c r="AF35" s="103">
        <f t="shared" si="9"/>
        <v>0.95317796610169447</v>
      </c>
      <c r="AG35" s="615"/>
    </row>
    <row r="36" spans="1:33" ht="15.75" customHeight="1">
      <c r="A36" s="641" t="s">
        <v>178</v>
      </c>
      <c r="B36" s="29" t="s">
        <v>32</v>
      </c>
      <c r="C36" s="640" t="s">
        <v>76</v>
      </c>
      <c r="D36" s="640"/>
      <c r="E36" s="29">
        <v>26.18</v>
      </c>
      <c r="F36" s="108">
        <v>3900</v>
      </c>
      <c r="G36" s="104">
        <f t="shared" si="23"/>
        <v>102102</v>
      </c>
      <c r="H36" s="33" t="s">
        <v>57</v>
      </c>
      <c r="I36" s="106">
        <v>18</v>
      </c>
      <c r="J36" s="31">
        <v>2400</v>
      </c>
      <c r="K36" s="12">
        <f t="shared" si="1"/>
        <v>133.33333333333334</v>
      </c>
      <c r="L36" s="106">
        <v>18</v>
      </c>
      <c r="M36" s="13">
        <f t="shared" si="24"/>
        <v>2294.1176470588243</v>
      </c>
      <c r="N36" s="12">
        <f t="shared" si="3"/>
        <v>127.45098039215691</v>
      </c>
      <c r="O36" s="14">
        <f t="shared" si="4"/>
        <v>0</v>
      </c>
      <c r="P36" s="15">
        <f t="shared" si="5"/>
        <v>-5.8823529411764355</v>
      </c>
      <c r="Q36" s="103">
        <f t="shared" si="6"/>
        <v>0.95588235294117674</v>
      </c>
      <c r="R36" s="615"/>
      <c r="S36" s="34">
        <v>0.60902777777777772</v>
      </c>
      <c r="T36" s="34">
        <v>0.67986111111111103</v>
      </c>
      <c r="U36" s="104">
        <f t="shared" si="26"/>
        <v>5.9999999999999787</v>
      </c>
      <c r="V36" s="107">
        <f t="shared" si="25"/>
        <v>101.99999999999996</v>
      </c>
      <c r="W36" s="16"/>
      <c r="X36" s="16"/>
      <c r="Y36" s="16"/>
      <c r="Z36" s="16"/>
      <c r="AA36" s="617"/>
      <c r="AB36" s="617"/>
      <c r="AC36" s="35"/>
      <c r="AD36" s="18"/>
      <c r="AE36" s="14">
        <f t="shared" si="8"/>
        <v>-105.88235294117567</v>
      </c>
      <c r="AF36" s="103">
        <f t="shared" si="9"/>
        <v>0.95588235294117685</v>
      </c>
      <c r="AG36" s="615"/>
    </row>
    <row r="37" spans="1:33" ht="15.75" customHeight="1">
      <c r="A37" s="641" t="s">
        <v>10</v>
      </c>
      <c r="B37" s="29" t="s">
        <v>32</v>
      </c>
      <c r="C37" s="640" t="s">
        <v>34</v>
      </c>
      <c r="D37" s="640"/>
      <c r="E37" s="29">
        <v>26.37</v>
      </c>
      <c r="F37" s="108">
        <v>2973</v>
      </c>
      <c r="G37" s="104">
        <f t="shared" si="23"/>
        <v>78398.010000000009</v>
      </c>
      <c r="H37" s="33" t="s">
        <v>57</v>
      </c>
      <c r="I37" s="106">
        <v>18</v>
      </c>
      <c r="J37" s="31">
        <v>2400</v>
      </c>
      <c r="K37" s="12">
        <f t="shared" si="1"/>
        <v>133.33333333333334</v>
      </c>
      <c r="L37" s="106">
        <v>18</v>
      </c>
      <c r="M37" s="13">
        <f t="shared" si="24"/>
        <v>2286.9230769230753</v>
      </c>
      <c r="N37" s="12">
        <f t="shared" si="3"/>
        <v>127.05128205128196</v>
      </c>
      <c r="O37" s="14">
        <f t="shared" si="4"/>
        <v>0</v>
      </c>
      <c r="P37" s="15">
        <f t="shared" si="5"/>
        <v>-6.2820512820513841</v>
      </c>
      <c r="Q37" s="103">
        <f t="shared" si="6"/>
        <v>0.95288461538461466</v>
      </c>
      <c r="R37" s="615"/>
      <c r="S37" s="34">
        <v>0.68402777777777768</v>
      </c>
      <c r="T37" s="34">
        <v>0.73819444444444438</v>
      </c>
      <c r="U37" s="104">
        <f t="shared" si="26"/>
        <v>5.9999999999999787</v>
      </c>
      <c r="V37" s="107">
        <f t="shared" si="25"/>
        <v>78.000000000000043</v>
      </c>
      <c r="W37" s="16"/>
      <c r="X37" s="16"/>
      <c r="Y37" s="16"/>
      <c r="Z37" s="16"/>
      <c r="AA37" s="617"/>
      <c r="AB37" s="617"/>
      <c r="AC37" s="35"/>
      <c r="AD37" s="18"/>
      <c r="AE37" s="14">
        <f t="shared" si="8"/>
        <v>-113.07692307692469</v>
      </c>
      <c r="AF37" s="103">
        <f t="shared" si="9"/>
        <v>0.95288461538461466</v>
      </c>
      <c r="AG37" s="615"/>
    </row>
    <row r="38" spans="1:33" ht="15.75" customHeight="1">
      <c r="A38" s="641" t="s">
        <v>178</v>
      </c>
      <c r="B38" s="29" t="s">
        <v>6</v>
      </c>
      <c r="C38" s="618"/>
      <c r="D38" s="618"/>
      <c r="E38" s="105"/>
      <c r="F38" s="108"/>
      <c r="G38" s="104"/>
      <c r="H38" s="108"/>
      <c r="I38" s="23">
        <v>17.428571428571427</v>
      </c>
      <c r="J38" s="31">
        <v>2400</v>
      </c>
      <c r="K38" s="12">
        <f t="shared" si="1"/>
        <v>137.70491803278691</v>
      </c>
      <c r="L38" s="23">
        <v>17.428571428571427</v>
      </c>
      <c r="M38" s="13">
        <f>AVERAGE(M31:M37)</f>
        <v>2288.6996260412957</v>
      </c>
      <c r="N38" s="12">
        <f t="shared" si="3"/>
        <v>131.31883100236945</v>
      </c>
      <c r="O38" s="14">
        <f t="shared" si="4"/>
        <v>0</v>
      </c>
      <c r="P38" s="15">
        <f t="shared" si="5"/>
        <v>-6.3860870304174568</v>
      </c>
      <c r="Q38" s="103">
        <f t="shared" si="6"/>
        <v>0.95362484418387328</v>
      </c>
      <c r="R38" s="615"/>
      <c r="S38" s="34"/>
      <c r="T38" s="34"/>
      <c r="U38" s="104"/>
      <c r="V38" s="107"/>
      <c r="W38" s="104"/>
      <c r="X38" s="104"/>
      <c r="Y38" s="24">
        <f>SUM(Y31:Y37)</f>
        <v>0</v>
      </c>
      <c r="Z38" s="24">
        <f>SUM(Z31:Z37)</f>
        <v>0</v>
      </c>
      <c r="AA38" s="614"/>
      <c r="AB38" s="614"/>
      <c r="AC38" s="24">
        <v>7</v>
      </c>
      <c r="AD38" s="24">
        <f>SUM(AD31:AD37)</f>
        <v>0</v>
      </c>
      <c r="AE38" s="14">
        <f t="shared" si="8"/>
        <v>-111.30037395870431</v>
      </c>
      <c r="AF38" s="103">
        <f t="shared" si="9"/>
        <v>0.95362484418387317</v>
      </c>
      <c r="AG38" s="615"/>
    </row>
    <row r="39" spans="1:33" ht="15.75" customHeight="1">
      <c r="A39" s="638" t="s">
        <v>11</v>
      </c>
      <c r="B39" s="29" t="s">
        <v>32</v>
      </c>
      <c r="C39" s="616" t="s">
        <v>77</v>
      </c>
      <c r="D39" s="616"/>
      <c r="E39" s="29">
        <v>26.18</v>
      </c>
      <c r="F39" s="108">
        <v>2800</v>
      </c>
      <c r="G39" s="104">
        <f t="shared" ref="G39:G46" si="27">E39*F39</f>
        <v>73304</v>
      </c>
      <c r="H39" s="33">
        <v>2</v>
      </c>
      <c r="I39" s="106">
        <v>20</v>
      </c>
      <c r="J39" s="31">
        <v>2400</v>
      </c>
      <c r="K39" s="12">
        <f t="shared" si="1"/>
        <v>120</v>
      </c>
      <c r="L39" s="106">
        <v>20</v>
      </c>
      <c r="M39" s="13">
        <f t="shared" ref="M39:M46" si="28">F39/V39*60</f>
        <v>2301.3698630136983</v>
      </c>
      <c r="N39" s="12">
        <f t="shared" si="3"/>
        <v>115.06849315068492</v>
      </c>
      <c r="O39" s="14">
        <f t="shared" si="4"/>
        <v>0</v>
      </c>
      <c r="P39" s="15">
        <f t="shared" si="5"/>
        <v>-4.9315068493150847</v>
      </c>
      <c r="Q39" s="103">
        <f t="shared" si="6"/>
        <v>0.95890410958904093</v>
      </c>
      <c r="R39" s="615">
        <f>Q47</f>
        <v>0.95572877536915035</v>
      </c>
      <c r="S39" s="34">
        <v>8.3333333333333329E-2</v>
      </c>
      <c r="T39" s="34">
        <v>0.13402777777777777</v>
      </c>
      <c r="U39" s="104"/>
      <c r="V39" s="107">
        <f t="shared" ref="V39:V46" si="29">(T39-S39)*24*60</f>
        <v>73</v>
      </c>
      <c r="W39" s="21">
        <f>T39</f>
        <v>0.13402777777777777</v>
      </c>
      <c r="X39" s="21">
        <f>S40</f>
        <v>0.1534722222222222</v>
      </c>
      <c r="Y39" s="21"/>
      <c r="Z39" s="21"/>
      <c r="AA39" s="617"/>
      <c r="AB39" s="617"/>
      <c r="AC39" s="35">
        <v>8</v>
      </c>
      <c r="AD39" s="18"/>
      <c r="AE39" s="14">
        <f t="shared" si="8"/>
        <v>-98.63013698630175</v>
      </c>
      <c r="AF39" s="103">
        <f t="shared" si="9"/>
        <v>0.95890410958904093</v>
      </c>
      <c r="AG39" s="615">
        <f>AF47</f>
        <v>0.95572877536915035</v>
      </c>
    </row>
    <row r="40" spans="1:33" ht="15.75" customHeight="1">
      <c r="A40" s="638" t="s">
        <v>11</v>
      </c>
      <c r="B40" s="29" t="s">
        <v>32</v>
      </c>
      <c r="C40" s="616" t="s">
        <v>37</v>
      </c>
      <c r="D40" s="616"/>
      <c r="E40" s="29">
        <v>24.43</v>
      </c>
      <c r="F40" s="108">
        <v>4600</v>
      </c>
      <c r="G40" s="104">
        <f t="shared" si="27"/>
        <v>112378</v>
      </c>
      <c r="H40" s="33">
        <v>2</v>
      </c>
      <c r="I40" s="106">
        <v>14</v>
      </c>
      <c r="J40" s="31">
        <v>2400</v>
      </c>
      <c r="K40" s="12">
        <f t="shared" si="1"/>
        <v>171.42857142857142</v>
      </c>
      <c r="L40" s="106">
        <v>14</v>
      </c>
      <c r="M40" s="13">
        <f t="shared" si="28"/>
        <v>2300</v>
      </c>
      <c r="N40" s="12">
        <f t="shared" si="3"/>
        <v>164.28571428571428</v>
      </c>
      <c r="O40" s="14">
        <f t="shared" si="4"/>
        <v>0</v>
      </c>
      <c r="P40" s="15">
        <f t="shared" si="5"/>
        <v>-7.1428571428571388</v>
      </c>
      <c r="Q40" s="103">
        <f t="shared" si="6"/>
        <v>0.95833333333333337</v>
      </c>
      <c r="R40" s="615"/>
      <c r="S40" s="34">
        <v>0.1534722222222222</v>
      </c>
      <c r="T40" s="34">
        <v>0.23680555555555555</v>
      </c>
      <c r="U40" s="104">
        <f t="shared" ref="U40:U46" si="30">(S40-T39)*24*60</f>
        <v>27.999999999999979</v>
      </c>
      <c r="V40" s="107">
        <f t="shared" si="29"/>
        <v>120</v>
      </c>
      <c r="W40" s="104"/>
      <c r="X40" s="104"/>
      <c r="Y40" s="104"/>
      <c r="Z40" s="104"/>
      <c r="AA40" s="617"/>
      <c r="AB40" s="617"/>
      <c r="AC40" s="35"/>
      <c r="AD40" s="18"/>
      <c r="AE40" s="14">
        <f t="shared" si="8"/>
        <v>-100</v>
      </c>
      <c r="AF40" s="103">
        <f t="shared" si="9"/>
        <v>0.95833333333333337</v>
      </c>
      <c r="AG40" s="615"/>
    </row>
    <row r="41" spans="1:33">
      <c r="A41" s="639" t="s">
        <v>11</v>
      </c>
      <c r="B41" s="29" t="s">
        <v>32</v>
      </c>
      <c r="C41" s="616" t="s">
        <v>39</v>
      </c>
      <c r="D41" s="616"/>
      <c r="E41" s="29">
        <v>34.1</v>
      </c>
      <c r="F41" s="108">
        <v>4400</v>
      </c>
      <c r="G41" s="104">
        <f t="shared" si="27"/>
        <v>150040</v>
      </c>
      <c r="H41" s="33">
        <v>2</v>
      </c>
      <c r="I41" s="106">
        <v>17</v>
      </c>
      <c r="J41" s="31">
        <v>1600</v>
      </c>
      <c r="K41" s="12">
        <f t="shared" si="1"/>
        <v>94.117647058823536</v>
      </c>
      <c r="L41" s="106">
        <v>17</v>
      </c>
      <c r="M41" s="13">
        <f t="shared" si="28"/>
        <v>1526.011560693642</v>
      </c>
      <c r="N41" s="12">
        <f t="shared" si="3"/>
        <v>89.765385923155407</v>
      </c>
      <c r="O41" s="14">
        <f t="shared" si="4"/>
        <v>0</v>
      </c>
      <c r="P41" s="15">
        <f t="shared" si="5"/>
        <v>-4.3522611356681296</v>
      </c>
      <c r="Q41" s="103">
        <f t="shared" si="6"/>
        <v>0.95375722543352615</v>
      </c>
      <c r="R41" s="615"/>
      <c r="S41" s="34">
        <v>0.24097222222222223</v>
      </c>
      <c r="T41" s="34">
        <v>0.3611111111111111</v>
      </c>
      <c r="U41" s="104">
        <f t="shared" si="30"/>
        <v>6.0000000000000187</v>
      </c>
      <c r="V41" s="107">
        <f t="shared" si="29"/>
        <v>172.99999999999997</v>
      </c>
      <c r="W41" s="104"/>
      <c r="X41" s="104"/>
      <c r="Y41" s="104"/>
      <c r="Z41" s="104"/>
      <c r="AA41" s="617"/>
      <c r="AB41" s="617"/>
      <c r="AC41" s="35"/>
      <c r="AD41" s="18"/>
      <c r="AE41" s="14">
        <f t="shared" si="8"/>
        <v>-73.988439306358032</v>
      </c>
      <c r="AF41" s="103">
        <f t="shared" si="9"/>
        <v>0.95375722543352626</v>
      </c>
      <c r="AG41" s="615"/>
    </row>
    <row r="42" spans="1:33">
      <c r="A42" s="639" t="s">
        <v>179</v>
      </c>
      <c r="B42" s="29" t="s">
        <v>32</v>
      </c>
      <c r="C42" s="616" t="s">
        <v>38</v>
      </c>
      <c r="D42" s="616"/>
      <c r="E42" s="29">
        <v>25.98</v>
      </c>
      <c r="F42" s="108">
        <v>3465</v>
      </c>
      <c r="G42" s="104">
        <f t="shared" si="27"/>
        <v>90020.7</v>
      </c>
      <c r="H42" s="33" t="s">
        <v>57</v>
      </c>
      <c r="I42" s="106">
        <v>19</v>
      </c>
      <c r="J42" s="31">
        <v>2400</v>
      </c>
      <c r="K42" s="12">
        <f t="shared" si="1"/>
        <v>126.31578947368421</v>
      </c>
      <c r="L42" s="106">
        <v>19</v>
      </c>
      <c r="M42" s="13">
        <f t="shared" si="28"/>
        <v>2284.6153846153848</v>
      </c>
      <c r="N42" s="12">
        <f t="shared" si="3"/>
        <v>120.24291497975709</v>
      </c>
      <c r="O42" s="14">
        <f t="shared" si="4"/>
        <v>0</v>
      </c>
      <c r="P42" s="15">
        <f t="shared" si="5"/>
        <v>-6.0728744939271166</v>
      </c>
      <c r="Q42" s="103">
        <f t="shared" si="6"/>
        <v>0.95192307692307698</v>
      </c>
      <c r="R42" s="615"/>
      <c r="S42" s="34">
        <v>0.3659722222222222</v>
      </c>
      <c r="T42" s="34">
        <v>0.42916666666666664</v>
      </c>
      <c r="U42" s="104">
        <f t="shared" si="30"/>
        <v>6.9999999999999751</v>
      </c>
      <c r="V42" s="107">
        <f t="shared" si="29"/>
        <v>91</v>
      </c>
      <c r="W42" s="16"/>
      <c r="X42" s="16"/>
      <c r="Y42" s="16"/>
      <c r="Z42" s="16"/>
      <c r="AA42" s="617"/>
      <c r="AB42" s="617"/>
      <c r="AC42" s="35"/>
      <c r="AD42" s="18"/>
      <c r="AE42" s="14">
        <f t="shared" si="8"/>
        <v>-115.38461538461524</v>
      </c>
      <c r="AF42" s="103">
        <f t="shared" si="9"/>
        <v>0.95192307692307698</v>
      </c>
      <c r="AG42" s="615"/>
    </row>
    <row r="43" spans="1:33">
      <c r="A43" s="639" t="s">
        <v>11</v>
      </c>
      <c r="B43" s="29" t="s">
        <v>32</v>
      </c>
      <c r="C43" s="616" t="s">
        <v>79</v>
      </c>
      <c r="D43" s="616"/>
      <c r="E43" s="29">
        <v>25.99</v>
      </c>
      <c r="F43" s="108">
        <v>3502</v>
      </c>
      <c r="G43" s="104">
        <f t="shared" si="27"/>
        <v>91016.98</v>
      </c>
      <c r="H43" s="33" t="s">
        <v>57</v>
      </c>
      <c r="I43" s="106">
        <v>18</v>
      </c>
      <c r="J43" s="31">
        <v>2400</v>
      </c>
      <c r="K43" s="12">
        <f t="shared" si="1"/>
        <v>133.33333333333334</v>
      </c>
      <c r="L43" s="106">
        <v>18</v>
      </c>
      <c r="M43" s="13">
        <f t="shared" si="28"/>
        <v>2309.0109890109889</v>
      </c>
      <c r="N43" s="12">
        <f t="shared" si="3"/>
        <v>128.27838827838826</v>
      </c>
      <c r="O43" s="14">
        <f t="shared" si="4"/>
        <v>0</v>
      </c>
      <c r="P43" s="15">
        <f t="shared" si="5"/>
        <v>-5.0549450549450796</v>
      </c>
      <c r="Q43" s="103">
        <f t="shared" si="6"/>
        <v>0.96208791208791189</v>
      </c>
      <c r="R43" s="615"/>
      <c r="S43" s="34">
        <v>0.43472222222222218</v>
      </c>
      <c r="T43" s="34">
        <v>0.49791666666666662</v>
      </c>
      <c r="U43" s="104">
        <f t="shared" si="30"/>
        <v>7.9999999999999716</v>
      </c>
      <c r="V43" s="107">
        <f t="shared" si="29"/>
        <v>91</v>
      </c>
      <c r="W43" s="16">
        <f>T43</f>
        <v>0.49791666666666662</v>
      </c>
      <c r="X43" s="16">
        <f>S44</f>
        <v>0.53749999999999998</v>
      </c>
      <c r="Y43" s="16"/>
      <c r="Z43" s="16"/>
      <c r="AA43" s="617"/>
      <c r="AB43" s="617"/>
      <c r="AC43" s="35"/>
      <c r="AD43" s="18"/>
      <c r="AE43" s="14">
        <f t="shared" si="8"/>
        <v>-90.989010989011149</v>
      </c>
      <c r="AF43" s="103">
        <f t="shared" si="9"/>
        <v>0.962087912087912</v>
      </c>
      <c r="AG43" s="615"/>
    </row>
    <row r="44" spans="1:33">
      <c r="A44" s="639" t="s">
        <v>11</v>
      </c>
      <c r="B44" s="29" t="s">
        <v>32</v>
      </c>
      <c r="C44" s="616" t="s">
        <v>77</v>
      </c>
      <c r="D44" s="616"/>
      <c r="E44" s="29">
        <v>26.18</v>
      </c>
      <c r="F44" s="108">
        <v>4233</v>
      </c>
      <c r="G44" s="104">
        <f t="shared" si="27"/>
        <v>110819.94</v>
      </c>
      <c r="H44" s="33" t="s">
        <v>57</v>
      </c>
      <c r="I44" s="106">
        <v>20</v>
      </c>
      <c r="J44" s="31">
        <v>2400</v>
      </c>
      <c r="K44" s="12">
        <f t="shared" si="1"/>
        <v>120</v>
      </c>
      <c r="L44" s="106">
        <v>20</v>
      </c>
      <c r="M44" s="13">
        <f t="shared" si="28"/>
        <v>2288.1081081081093</v>
      </c>
      <c r="N44" s="12">
        <f t="shared" si="3"/>
        <v>114.40540540540546</v>
      </c>
      <c r="O44" s="14">
        <f t="shared" si="4"/>
        <v>0</v>
      </c>
      <c r="P44" s="15">
        <f t="shared" si="5"/>
        <v>-5.5945945945945397</v>
      </c>
      <c r="Q44" s="103">
        <f t="shared" si="6"/>
        <v>0.9533783783783788</v>
      </c>
      <c r="R44" s="615"/>
      <c r="S44" s="34">
        <v>0.53749999999999998</v>
      </c>
      <c r="T44" s="34">
        <v>0.61458333333333326</v>
      </c>
      <c r="U44" s="104">
        <f t="shared" si="30"/>
        <v>57.000000000000036</v>
      </c>
      <c r="V44" s="107">
        <f t="shared" si="29"/>
        <v>110.99999999999993</v>
      </c>
      <c r="W44" s="16"/>
      <c r="X44" s="16"/>
      <c r="Y44" s="16"/>
      <c r="Z44" s="16"/>
      <c r="AA44" s="617"/>
      <c r="AB44" s="617"/>
      <c r="AC44" s="35"/>
      <c r="AD44" s="18"/>
      <c r="AE44" s="14">
        <f t="shared" si="8"/>
        <v>-111.89189189189074</v>
      </c>
      <c r="AF44" s="103">
        <f t="shared" si="9"/>
        <v>0.95337837837837891</v>
      </c>
      <c r="AG44" s="615"/>
    </row>
    <row r="45" spans="1:33">
      <c r="A45" s="639" t="s">
        <v>179</v>
      </c>
      <c r="B45" s="29" t="s">
        <v>32</v>
      </c>
      <c r="C45" s="616" t="s">
        <v>37</v>
      </c>
      <c r="D45" s="616"/>
      <c r="E45" s="29">
        <v>24.43</v>
      </c>
      <c r="F45" s="108">
        <v>3006</v>
      </c>
      <c r="G45" s="104">
        <f t="shared" si="27"/>
        <v>73436.58</v>
      </c>
      <c r="H45" s="33" t="s">
        <v>57</v>
      </c>
      <c r="I45" s="106">
        <v>14</v>
      </c>
      <c r="J45" s="31">
        <v>2400</v>
      </c>
      <c r="K45" s="12">
        <f t="shared" si="1"/>
        <v>171.42857142857142</v>
      </c>
      <c r="L45" s="106">
        <v>14</v>
      </c>
      <c r="M45" s="13">
        <f t="shared" si="28"/>
        <v>2283.0379746835429</v>
      </c>
      <c r="N45" s="12">
        <f t="shared" si="3"/>
        <v>163.07414104882449</v>
      </c>
      <c r="O45" s="14">
        <f t="shared" si="4"/>
        <v>0</v>
      </c>
      <c r="P45" s="15">
        <f t="shared" si="5"/>
        <v>-8.3544303797469297</v>
      </c>
      <c r="Q45" s="103">
        <f t="shared" si="6"/>
        <v>0.95126582278480953</v>
      </c>
      <c r="R45" s="615"/>
      <c r="S45" s="34">
        <v>0.61874999999999991</v>
      </c>
      <c r="T45" s="34">
        <v>0.67361111111111105</v>
      </c>
      <c r="U45" s="104">
        <f t="shared" si="30"/>
        <v>5.9999999999999787</v>
      </c>
      <c r="V45" s="107">
        <f t="shared" si="29"/>
        <v>79.000000000000043</v>
      </c>
      <c r="W45" s="16"/>
      <c r="X45" s="16"/>
      <c r="Y45" s="19"/>
      <c r="Z45" s="19"/>
      <c r="AA45" s="624"/>
      <c r="AB45" s="625"/>
      <c r="AC45" s="35"/>
      <c r="AD45" s="18"/>
      <c r="AE45" s="14">
        <f t="shared" si="8"/>
        <v>-116.96202531645713</v>
      </c>
      <c r="AF45" s="103">
        <f t="shared" si="9"/>
        <v>0.95126582278480953</v>
      </c>
      <c r="AG45" s="615"/>
    </row>
    <row r="46" spans="1:33">
      <c r="A46" s="639" t="s">
        <v>11</v>
      </c>
      <c r="B46" s="29" t="s">
        <v>32</v>
      </c>
      <c r="C46" s="616" t="s">
        <v>39</v>
      </c>
      <c r="D46" s="616"/>
      <c r="E46" s="29">
        <v>34.1</v>
      </c>
      <c r="F46" s="108">
        <v>2879</v>
      </c>
      <c r="G46" s="104">
        <f t="shared" si="27"/>
        <v>98173.900000000009</v>
      </c>
      <c r="H46" s="33" t="s">
        <v>57</v>
      </c>
      <c r="I46" s="106">
        <v>17</v>
      </c>
      <c r="J46" s="31">
        <v>1600</v>
      </c>
      <c r="K46" s="12">
        <f t="shared" si="1"/>
        <v>94.117647058823536</v>
      </c>
      <c r="L46" s="106">
        <v>17</v>
      </c>
      <c r="M46" s="13">
        <f t="shared" si="28"/>
        <v>1528.6725663716802</v>
      </c>
      <c r="N46" s="12">
        <f t="shared" si="3"/>
        <v>89.921915668922367</v>
      </c>
      <c r="O46" s="14">
        <f t="shared" si="4"/>
        <v>0</v>
      </c>
      <c r="P46" s="15">
        <f t="shared" si="5"/>
        <v>-4.1957313899011695</v>
      </c>
      <c r="Q46" s="103">
        <f t="shared" si="6"/>
        <v>0.95542035398230007</v>
      </c>
      <c r="R46" s="615"/>
      <c r="S46" s="34">
        <v>0.67847222222222214</v>
      </c>
      <c r="T46" s="34">
        <v>0.75694444444444442</v>
      </c>
      <c r="U46" s="104">
        <f t="shared" si="30"/>
        <v>6.9999999999999751</v>
      </c>
      <c r="V46" s="107">
        <f t="shared" si="29"/>
        <v>113.00000000000009</v>
      </c>
      <c r="W46" s="16"/>
      <c r="X46" s="16"/>
      <c r="Y46" s="19"/>
      <c r="Z46" s="19"/>
      <c r="AA46" s="624"/>
      <c r="AB46" s="625"/>
      <c r="AC46" s="35"/>
      <c r="AD46" s="18"/>
      <c r="AE46" s="14">
        <f t="shared" si="8"/>
        <v>-71.327433628319795</v>
      </c>
      <c r="AF46" s="103">
        <f t="shared" si="9"/>
        <v>0.95542035398230007</v>
      </c>
      <c r="AG46" s="615"/>
    </row>
    <row r="47" spans="1:33">
      <c r="A47" s="639" t="s">
        <v>179</v>
      </c>
      <c r="B47" s="30" t="s">
        <v>6</v>
      </c>
      <c r="C47" s="618"/>
      <c r="D47" s="618"/>
      <c r="E47" s="105"/>
      <c r="F47" s="30"/>
      <c r="G47" s="12"/>
      <c r="H47" s="108"/>
      <c r="I47" s="23">
        <v>17.375</v>
      </c>
      <c r="J47" s="31">
        <v>2200</v>
      </c>
      <c r="K47" s="12">
        <f t="shared" si="1"/>
        <v>126.61870503597122</v>
      </c>
      <c r="L47" s="23">
        <v>17.375</v>
      </c>
      <c r="M47" s="13">
        <f>AVERAGE(M39:M46)</f>
        <v>2102.6033058121307</v>
      </c>
      <c r="N47" s="12">
        <f t="shared" si="3"/>
        <v>121.01313990285644</v>
      </c>
      <c r="O47" s="14">
        <f t="shared" si="4"/>
        <v>0</v>
      </c>
      <c r="P47" s="15">
        <f t="shared" si="5"/>
        <v>-5.60556513311478</v>
      </c>
      <c r="Q47" s="103">
        <f t="shared" si="6"/>
        <v>0.95572877536915035</v>
      </c>
      <c r="R47" s="615"/>
      <c r="S47" s="34"/>
      <c r="T47" s="34"/>
      <c r="U47" s="12"/>
      <c r="V47" s="107"/>
      <c r="W47" s="12"/>
      <c r="X47" s="12"/>
      <c r="Y47" s="24">
        <f>SUM(Y39:Y46)</f>
        <v>0</v>
      </c>
      <c r="Z47" s="24">
        <f>SUM(Z39:Z46)</f>
        <v>0</v>
      </c>
      <c r="AA47" s="614"/>
      <c r="AB47" s="614"/>
      <c r="AC47" s="24">
        <v>8</v>
      </c>
      <c r="AD47" s="24">
        <f>SUM(AD39:AD46)</f>
        <v>0</v>
      </c>
      <c r="AE47" s="14">
        <f t="shared" si="8"/>
        <v>-97.396694187869343</v>
      </c>
      <c r="AF47" s="103">
        <f t="shared" si="9"/>
        <v>0.95572877536915035</v>
      </c>
      <c r="AG47" s="615"/>
    </row>
    <row r="48" spans="1:33" ht="15.75" customHeight="1">
      <c r="A48" s="632" t="s">
        <v>180</v>
      </c>
      <c r="B48" s="29" t="s">
        <v>40</v>
      </c>
      <c r="C48" s="622" t="s">
        <v>41</v>
      </c>
      <c r="D48" s="623"/>
      <c r="E48" s="29">
        <v>37.880000000000003</v>
      </c>
      <c r="F48" s="108">
        <v>1421</v>
      </c>
      <c r="G48" s="104">
        <f t="shared" ref="G48:G51" si="31">E48*F48</f>
        <v>53827.48</v>
      </c>
      <c r="H48" s="33" t="s">
        <v>57</v>
      </c>
      <c r="I48" s="106">
        <v>13</v>
      </c>
      <c r="J48" s="31">
        <v>2000</v>
      </c>
      <c r="K48" s="12">
        <f t="shared" si="1"/>
        <v>153.84615384615384</v>
      </c>
      <c r="L48" s="106">
        <v>13</v>
      </c>
      <c r="M48" s="13">
        <f t="shared" ref="M48:M51" si="32">F48/V48*60</f>
        <v>1937.7272727272727</v>
      </c>
      <c r="N48" s="13">
        <f t="shared" si="3"/>
        <v>149.05594405594405</v>
      </c>
      <c r="O48" s="14">
        <f t="shared" si="4"/>
        <v>0</v>
      </c>
      <c r="P48" s="15">
        <f t="shared" si="5"/>
        <v>-4.7902097902097864</v>
      </c>
      <c r="Q48" s="103">
        <f t="shared" si="6"/>
        <v>0.96886363636363637</v>
      </c>
      <c r="R48" s="635">
        <f>Q52</f>
        <v>0.95643106603876704</v>
      </c>
      <c r="S48" s="34">
        <v>8.3333333333333329E-2</v>
      </c>
      <c r="T48" s="34">
        <v>0.11388888888888889</v>
      </c>
      <c r="U48" s="21"/>
      <c r="V48" s="107">
        <f t="shared" ref="V48:V51" si="33">(T48-S48)*24*60</f>
        <v>44</v>
      </c>
      <c r="W48" s="16">
        <f>T48</f>
        <v>0.11388888888888889</v>
      </c>
      <c r="X48" s="16">
        <f>S49</f>
        <v>0.1333333333333333</v>
      </c>
      <c r="Y48" s="19"/>
      <c r="Z48" s="19"/>
      <c r="AA48" s="624"/>
      <c r="AB48" s="625"/>
      <c r="AC48" s="35">
        <v>4</v>
      </c>
      <c r="AD48" s="18"/>
      <c r="AE48" s="14">
        <f t="shared" si="8"/>
        <v>-62.272727272727252</v>
      </c>
      <c r="AF48" s="103">
        <f t="shared" si="9"/>
        <v>0.96886363636363637</v>
      </c>
      <c r="AG48" s="635">
        <f>AF52</f>
        <v>0.95643106603876715</v>
      </c>
    </row>
    <row r="49" spans="1:33" ht="15.75" customHeight="1">
      <c r="A49" s="633" t="s">
        <v>12</v>
      </c>
      <c r="B49" s="29" t="s">
        <v>40</v>
      </c>
      <c r="C49" s="622" t="s">
        <v>42</v>
      </c>
      <c r="D49" s="623"/>
      <c r="E49" s="29">
        <v>35.119999999999997</v>
      </c>
      <c r="F49" s="108">
        <v>6194</v>
      </c>
      <c r="G49" s="104">
        <f t="shared" si="31"/>
        <v>217533.27999999997</v>
      </c>
      <c r="H49" s="33" t="s">
        <v>57</v>
      </c>
      <c r="I49" s="106">
        <v>10</v>
      </c>
      <c r="J49" s="31">
        <v>3000</v>
      </c>
      <c r="K49" s="12">
        <f t="shared" si="1"/>
        <v>300</v>
      </c>
      <c r="L49" s="106">
        <v>10</v>
      </c>
      <c r="M49" s="13">
        <f t="shared" si="32"/>
        <v>2858.76923076923</v>
      </c>
      <c r="N49" s="13">
        <f t="shared" si="3"/>
        <v>285.87692307692299</v>
      </c>
      <c r="O49" s="14">
        <f t="shared" si="4"/>
        <v>0</v>
      </c>
      <c r="P49" s="15">
        <f t="shared" si="5"/>
        <v>-14.123076923077008</v>
      </c>
      <c r="Q49" s="103">
        <f t="shared" si="6"/>
        <v>0.95292307692307665</v>
      </c>
      <c r="R49" s="636"/>
      <c r="S49" s="34">
        <v>0.1333333333333333</v>
      </c>
      <c r="T49" s="34">
        <v>0.22361111111111109</v>
      </c>
      <c r="U49" s="104">
        <f t="shared" ref="U49:U51" si="34">(S49-T48)*24*60</f>
        <v>27.999999999999961</v>
      </c>
      <c r="V49" s="107">
        <f t="shared" si="33"/>
        <v>130.00000000000003</v>
      </c>
      <c r="W49" s="16"/>
      <c r="X49" s="16"/>
      <c r="Y49" s="19"/>
      <c r="Z49" s="19"/>
      <c r="AA49" s="624"/>
      <c r="AB49" s="625"/>
      <c r="AC49" s="35"/>
      <c r="AD49" s="18"/>
      <c r="AE49" s="14">
        <f t="shared" si="8"/>
        <v>-141.23076923076997</v>
      </c>
      <c r="AF49" s="103">
        <f t="shared" si="9"/>
        <v>0.95292307692307665</v>
      </c>
      <c r="AG49" s="636"/>
    </row>
    <row r="50" spans="1:33" ht="15.75" customHeight="1">
      <c r="A50" s="633" t="s">
        <v>180</v>
      </c>
      <c r="B50" s="29" t="s">
        <v>40</v>
      </c>
      <c r="C50" s="622" t="s">
        <v>43</v>
      </c>
      <c r="D50" s="623"/>
      <c r="E50" s="29">
        <v>21.13</v>
      </c>
      <c r="F50" s="108">
        <v>5729</v>
      </c>
      <c r="G50" s="104">
        <f t="shared" si="31"/>
        <v>121053.76999999999</v>
      </c>
      <c r="H50" s="33" t="s">
        <v>57</v>
      </c>
      <c r="I50" s="106">
        <v>10</v>
      </c>
      <c r="J50" s="31">
        <v>3000</v>
      </c>
      <c r="K50" s="12">
        <f t="shared" si="1"/>
        <v>300</v>
      </c>
      <c r="L50" s="106">
        <v>10</v>
      </c>
      <c r="M50" s="13">
        <f t="shared" si="32"/>
        <v>2864.5</v>
      </c>
      <c r="N50" s="13">
        <f t="shared" si="3"/>
        <v>286.45</v>
      </c>
      <c r="O50" s="14">
        <f t="shared" si="4"/>
        <v>0</v>
      </c>
      <c r="P50" s="15">
        <f t="shared" si="5"/>
        <v>-13.550000000000011</v>
      </c>
      <c r="Q50" s="103">
        <f t="shared" si="6"/>
        <v>0.95483333333333331</v>
      </c>
      <c r="R50" s="636"/>
      <c r="S50" s="34">
        <v>0.22777777777777777</v>
      </c>
      <c r="T50" s="34">
        <v>0.31111111111111112</v>
      </c>
      <c r="U50" s="104">
        <f t="shared" si="34"/>
        <v>6.0000000000000187</v>
      </c>
      <c r="V50" s="107">
        <f t="shared" si="33"/>
        <v>120</v>
      </c>
      <c r="W50" s="16"/>
      <c r="X50" s="16"/>
      <c r="Y50" s="19"/>
      <c r="Z50" s="19"/>
      <c r="AA50" s="624"/>
      <c r="AB50" s="625"/>
      <c r="AC50" s="35"/>
      <c r="AD50" s="18"/>
      <c r="AE50" s="14">
        <f t="shared" si="8"/>
        <v>-135.5</v>
      </c>
      <c r="AF50" s="103">
        <f t="shared" si="9"/>
        <v>0.95483333333333331</v>
      </c>
      <c r="AG50" s="636"/>
    </row>
    <row r="51" spans="1:33" ht="15.75" customHeight="1">
      <c r="A51" s="633" t="s">
        <v>180</v>
      </c>
      <c r="B51" s="29" t="s">
        <v>40</v>
      </c>
      <c r="C51" s="622" t="s">
        <v>44</v>
      </c>
      <c r="D51" s="623"/>
      <c r="E51" s="29">
        <v>27.17</v>
      </c>
      <c r="F51" s="108">
        <v>7483</v>
      </c>
      <c r="G51" s="104">
        <f t="shared" si="31"/>
        <v>203313.11000000002</v>
      </c>
      <c r="H51" s="33" t="s">
        <v>57</v>
      </c>
      <c r="I51" s="106">
        <v>10</v>
      </c>
      <c r="J51" s="31">
        <v>3000</v>
      </c>
      <c r="K51" s="12">
        <f t="shared" si="1"/>
        <v>300</v>
      </c>
      <c r="L51" s="106">
        <v>10</v>
      </c>
      <c r="M51" s="13">
        <f t="shared" si="32"/>
        <v>2859.7452229299365</v>
      </c>
      <c r="N51" s="13">
        <f t="shared" si="3"/>
        <v>285.97452229299364</v>
      </c>
      <c r="O51" s="14">
        <f t="shared" si="4"/>
        <v>0</v>
      </c>
      <c r="P51" s="15">
        <f t="shared" si="5"/>
        <v>-14.02547770700636</v>
      </c>
      <c r="Q51" s="103">
        <f t="shared" si="6"/>
        <v>0.95324840764331209</v>
      </c>
      <c r="R51" s="636"/>
      <c r="S51" s="34">
        <v>0.31527777777777777</v>
      </c>
      <c r="T51" s="34">
        <v>0.42430555555555555</v>
      </c>
      <c r="U51" s="104">
        <f t="shared" si="34"/>
        <v>5.9999999999999787</v>
      </c>
      <c r="V51" s="107">
        <f t="shared" si="33"/>
        <v>157</v>
      </c>
      <c r="W51" s="16"/>
      <c r="X51" s="16"/>
      <c r="Y51" s="19"/>
      <c r="Z51" s="19"/>
      <c r="AA51" s="624"/>
      <c r="AB51" s="625"/>
      <c r="AC51" s="35"/>
      <c r="AD51" s="18"/>
      <c r="AE51" s="14">
        <f t="shared" si="8"/>
        <v>-140.25477707006348</v>
      </c>
      <c r="AF51" s="103">
        <f t="shared" si="9"/>
        <v>0.9532484076433122</v>
      </c>
      <c r="AG51" s="636"/>
    </row>
    <row r="52" spans="1:33" ht="15.75" customHeight="1">
      <c r="A52" s="634" t="s">
        <v>180</v>
      </c>
      <c r="B52" s="29" t="s">
        <v>6</v>
      </c>
      <c r="C52" s="612"/>
      <c r="D52" s="613"/>
      <c r="E52" s="101"/>
      <c r="F52" s="108"/>
      <c r="G52" s="104"/>
      <c r="H52" s="108"/>
      <c r="I52" s="23">
        <v>10.75</v>
      </c>
      <c r="J52" s="31">
        <v>2750</v>
      </c>
      <c r="K52" s="12">
        <f t="shared" si="1"/>
        <v>255.81395348837211</v>
      </c>
      <c r="L52" s="23">
        <v>10.75</v>
      </c>
      <c r="M52" s="13">
        <f>AVERAGE(M48:M51)</f>
        <v>2630.1854316066097</v>
      </c>
      <c r="N52" s="12">
        <f t="shared" si="3"/>
        <v>244.66841224247531</v>
      </c>
      <c r="O52" s="14">
        <f t="shared" si="4"/>
        <v>0</v>
      </c>
      <c r="P52" s="15">
        <f t="shared" si="5"/>
        <v>-11.145541245896794</v>
      </c>
      <c r="Q52" s="103">
        <f t="shared" si="6"/>
        <v>0.95643106603876704</v>
      </c>
      <c r="R52" s="637"/>
      <c r="S52" s="34"/>
      <c r="T52" s="34"/>
      <c r="U52" s="104"/>
      <c r="V52" s="107"/>
      <c r="W52" s="16"/>
      <c r="X52" s="16"/>
      <c r="Y52" s="24">
        <f>SUM(Y48:Y51)</f>
        <v>0</v>
      </c>
      <c r="Z52" s="24">
        <f>SUM(Z48:Z51)</f>
        <v>0</v>
      </c>
      <c r="AA52" s="628"/>
      <c r="AB52" s="629"/>
      <c r="AC52" s="24">
        <v>4</v>
      </c>
      <c r="AD52" s="24">
        <f>SUM(AD48:AD51)</f>
        <v>0</v>
      </c>
      <c r="AE52" s="14">
        <f t="shared" si="8"/>
        <v>-119.81456839339035</v>
      </c>
      <c r="AF52" s="103">
        <f t="shared" si="9"/>
        <v>0.95643106603876715</v>
      </c>
      <c r="AG52" s="637"/>
    </row>
    <row r="53" spans="1:33" ht="15.75" customHeight="1">
      <c r="A53" s="630" t="s">
        <v>13</v>
      </c>
      <c r="B53" s="29" t="s">
        <v>19</v>
      </c>
      <c r="C53" s="616" t="s">
        <v>45</v>
      </c>
      <c r="D53" s="616"/>
      <c r="E53" s="29">
        <v>46</v>
      </c>
      <c r="F53" s="32">
        <v>2877</v>
      </c>
      <c r="G53" s="104">
        <f t="shared" ref="G53:G59" si="35">E53*F53</f>
        <v>132342</v>
      </c>
      <c r="H53" s="33" t="s">
        <v>57</v>
      </c>
      <c r="I53" s="106">
        <v>16</v>
      </c>
      <c r="J53" s="31">
        <v>2000</v>
      </c>
      <c r="K53" s="12">
        <f t="shared" si="1"/>
        <v>125</v>
      </c>
      <c r="L53" s="106">
        <v>16</v>
      </c>
      <c r="M53" s="13">
        <f t="shared" ref="M53" si="36">F53/V53*60</f>
        <v>1917.9999999999991</v>
      </c>
      <c r="N53" s="13">
        <f t="shared" si="3"/>
        <v>119.87499999999994</v>
      </c>
      <c r="O53" s="14">
        <f t="shared" si="4"/>
        <v>0</v>
      </c>
      <c r="P53" s="15">
        <f t="shared" si="5"/>
        <v>-5.1250000000000568</v>
      </c>
      <c r="Q53" s="103">
        <f t="shared" si="6"/>
        <v>0.95899999999999952</v>
      </c>
      <c r="R53" s="615">
        <f>Q60</f>
        <v>0.95645232051797202</v>
      </c>
      <c r="S53" s="34">
        <v>0.20833333333333334</v>
      </c>
      <c r="T53" s="34">
        <v>0.27083333333333337</v>
      </c>
      <c r="U53" s="21"/>
      <c r="V53" s="107">
        <f t="shared" ref="V53:V59" si="37">(T53-S53)*24*60</f>
        <v>90.000000000000043</v>
      </c>
      <c r="W53" s="21"/>
      <c r="X53" s="21"/>
      <c r="Y53" s="21"/>
      <c r="Z53" s="21"/>
      <c r="AA53" s="617"/>
      <c r="AB53" s="617"/>
      <c r="AC53" s="35">
        <v>7</v>
      </c>
      <c r="AD53" s="18"/>
      <c r="AE53" s="14">
        <f t="shared" si="8"/>
        <v>-82.000000000000909</v>
      </c>
      <c r="AF53" s="103">
        <f t="shared" si="9"/>
        <v>0.95899999999999952</v>
      </c>
      <c r="AG53" s="615">
        <f>AF60</f>
        <v>0.95645232051797191</v>
      </c>
    </row>
    <row r="54" spans="1:33" ht="15.75" customHeight="1">
      <c r="A54" s="630" t="s">
        <v>13</v>
      </c>
      <c r="B54" s="29" t="s">
        <v>19</v>
      </c>
      <c r="C54" s="616" t="s">
        <v>81</v>
      </c>
      <c r="D54" s="616"/>
      <c r="E54" s="29">
        <v>46</v>
      </c>
      <c r="F54" s="32">
        <v>4091</v>
      </c>
      <c r="G54" s="104">
        <f t="shared" si="35"/>
        <v>188186</v>
      </c>
      <c r="H54" s="33" t="s">
        <v>57</v>
      </c>
      <c r="I54" s="106">
        <v>16</v>
      </c>
      <c r="J54" s="31">
        <v>2000</v>
      </c>
      <c r="K54" s="12">
        <f t="shared" si="1"/>
        <v>125</v>
      </c>
      <c r="L54" s="106">
        <v>16</v>
      </c>
      <c r="M54" s="13">
        <f>F54/V54*60</f>
        <v>1902.7906976744182</v>
      </c>
      <c r="N54" s="13">
        <f t="shared" si="3"/>
        <v>118.92441860465114</v>
      </c>
      <c r="O54" s="14">
        <f t="shared" si="4"/>
        <v>0</v>
      </c>
      <c r="P54" s="15">
        <f t="shared" si="5"/>
        <v>-6.0755813953488627</v>
      </c>
      <c r="Q54" s="103">
        <f t="shared" si="6"/>
        <v>0.95139534883720911</v>
      </c>
      <c r="R54" s="615"/>
      <c r="S54" s="34">
        <v>0.27638888888888891</v>
      </c>
      <c r="T54" s="34">
        <v>0.36597222222222225</v>
      </c>
      <c r="U54" s="104">
        <f t="shared" ref="U54:U59" si="38">IF(S54=TIME(17,0,0),"",(S54-T53)*24*60)</f>
        <v>7.9999999999999716</v>
      </c>
      <c r="V54" s="107">
        <f t="shared" si="37"/>
        <v>129.00000000000003</v>
      </c>
      <c r="W54" s="16"/>
      <c r="X54" s="16"/>
      <c r="Y54" s="16"/>
      <c r="Z54" s="16"/>
      <c r="AA54" s="617"/>
      <c r="AB54" s="617"/>
      <c r="AC54" s="35"/>
      <c r="AD54" s="18"/>
      <c r="AE54" s="14">
        <f t="shared" si="8"/>
        <v>-97.209302325581803</v>
      </c>
      <c r="AF54" s="103">
        <f t="shared" si="9"/>
        <v>0.95139534883720911</v>
      </c>
      <c r="AG54" s="615"/>
    </row>
    <row r="55" spans="1:33" ht="15.75" customHeight="1">
      <c r="A55" s="630" t="s">
        <v>181</v>
      </c>
      <c r="B55" s="29" t="s">
        <v>15</v>
      </c>
      <c r="C55" s="622" t="s">
        <v>47</v>
      </c>
      <c r="D55" s="623"/>
      <c r="E55" s="29">
        <v>51.75</v>
      </c>
      <c r="F55" s="32">
        <v>960</v>
      </c>
      <c r="G55" s="104">
        <f t="shared" si="35"/>
        <v>49680</v>
      </c>
      <c r="H55" s="33" t="s">
        <v>57</v>
      </c>
      <c r="I55" s="106">
        <v>25</v>
      </c>
      <c r="J55" s="31">
        <v>2000</v>
      </c>
      <c r="K55" s="12">
        <f t="shared" si="1"/>
        <v>80</v>
      </c>
      <c r="L55" s="106">
        <v>25</v>
      </c>
      <c r="M55" s="13">
        <f t="shared" ref="M55:M59" si="39">F55/V55*60</f>
        <v>1920.0000000000018</v>
      </c>
      <c r="N55" s="13">
        <f t="shared" si="3"/>
        <v>76.800000000000068</v>
      </c>
      <c r="O55" s="14">
        <f t="shared" si="4"/>
        <v>0</v>
      </c>
      <c r="P55" s="15">
        <f t="shared" si="5"/>
        <v>-3.1999999999999318</v>
      </c>
      <c r="Q55" s="103">
        <f t="shared" si="6"/>
        <v>0.96000000000000085</v>
      </c>
      <c r="R55" s="615"/>
      <c r="S55" s="34">
        <v>0.37152777777777779</v>
      </c>
      <c r="T55" s="34">
        <v>0.3923611111111111</v>
      </c>
      <c r="U55" s="104">
        <f t="shared" si="38"/>
        <v>7.9999999999999716</v>
      </c>
      <c r="V55" s="107">
        <f t="shared" si="37"/>
        <v>29.999999999999972</v>
      </c>
      <c r="W55" s="16"/>
      <c r="X55" s="16"/>
      <c r="Y55" s="19"/>
      <c r="Z55" s="19"/>
      <c r="AA55" s="617"/>
      <c r="AB55" s="617"/>
      <c r="AC55" s="35"/>
      <c r="AD55" s="18"/>
      <c r="AE55" s="14">
        <f t="shared" si="8"/>
        <v>-79.999999999998181</v>
      </c>
      <c r="AF55" s="103">
        <f t="shared" si="9"/>
        <v>0.96000000000000096</v>
      </c>
      <c r="AG55" s="615"/>
    </row>
    <row r="56" spans="1:33" ht="15.75" customHeight="1">
      <c r="A56" s="630" t="s">
        <v>13</v>
      </c>
      <c r="B56" s="29" t="s">
        <v>15</v>
      </c>
      <c r="C56" s="97" t="s">
        <v>46</v>
      </c>
      <c r="D56" s="98"/>
      <c r="E56" s="29">
        <v>56.43</v>
      </c>
      <c r="F56" s="32">
        <v>1718</v>
      </c>
      <c r="G56" s="104">
        <f t="shared" si="35"/>
        <v>96946.74</v>
      </c>
      <c r="H56" s="33" t="s">
        <v>57</v>
      </c>
      <c r="I56" s="106">
        <v>22</v>
      </c>
      <c r="J56" s="31">
        <v>2000</v>
      </c>
      <c r="K56" s="12">
        <f t="shared" si="1"/>
        <v>90.909090909090907</v>
      </c>
      <c r="L56" s="106">
        <v>22</v>
      </c>
      <c r="M56" s="13">
        <f t="shared" si="39"/>
        <v>1908.8888888888898</v>
      </c>
      <c r="N56" s="13">
        <f t="shared" si="3"/>
        <v>86.767676767676804</v>
      </c>
      <c r="O56" s="14">
        <f t="shared" si="4"/>
        <v>0</v>
      </c>
      <c r="P56" s="15">
        <f t="shared" si="5"/>
        <v>-4.1414141414141028</v>
      </c>
      <c r="Q56" s="103">
        <f t="shared" si="6"/>
        <v>0.95444444444444487</v>
      </c>
      <c r="R56" s="615"/>
      <c r="S56" s="34">
        <v>0.3972222222222222</v>
      </c>
      <c r="T56" s="34">
        <v>0.43472222222222218</v>
      </c>
      <c r="U56" s="104">
        <f t="shared" si="38"/>
        <v>6.9999999999999751</v>
      </c>
      <c r="V56" s="107">
        <f t="shared" si="37"/>
        <v>53.999999999999972</v>
      </c>
      <c r="W56" s="16"/>
      <c r="X56" s="16"/>
      <c r="Y56" s="19"/>
      <c r="Z56" s="19"/>
      <c r="AA56" s="617"/>
      <c r="AB56" s="617"/>
      <c r="AC56" s="35"/>
      <c r="AD56" s="18"/>
      <c r="AE56" s="14">
        <f t="shared" si="8"/>
        <v>-91.111111111110176</v>
      </c>
      <c r="AF56" s="103">
        <f t="shared" si="9"/>
        <v>0.95444444444444487</v>
      </c>
      <c r="AG56" s="615"/>
    </row>
    <row r="57" spans="1:33" ht="15.75" customHeight="1">
      <c r="A57" s="630" t="s">
        <v>13</v>
      </c>
      <c r="B57" s="29" t="s">
        <v>15</v>
      </c>
      <c r="C57" s="97" t="s">
        <v>27</v>
      </c>
      <c r="D57" s="98"/>
      <c r="E57" s="29">
        <v>59.04</v>
      </c>
      <c r="F57" s="32">
        <v>3603</v>
      </c>
      <c r="G57" s="104">
        <f t="shared" si="35"/>
        <v>212721.12</v>
      </c>
      <c r="H57" s="33" t="s">
        <v>57</v>
      </c>
      <c r="I57" s="106">
        <v>19</v>
      </c>
      <c r="J57" s="31">
        <v>2000</v>
      </c>
      <c r="K57" s="12">
        <f t="shared" si="1"/>
        <v>105.26315789473684</v>
      </c>
      <c r="L57" s="106">
        <v>19</v>
      </c>
      <c r="M57" s="13">
        <f t="shared" si="39"/>
        <v>1913.0973451327434</v>
      </c>
      <c r="N57" s="13">
        <f t="shared" si="3"/>
        <v>100.68933395435492</v>
      </c>
      <c r="O57" s="14">
        <f t="shared" si="4"/>
        <v>0</v>
      </c>
      <c r="P57" s="15">
        <f t="shared" si="5"/>
        <v>-4.5738239403819136</v>
      </c>
      <c r="Q57" s="103">
        <f t="shared" si="6"/>
        <v>0.95654867256637177</v>
      </c>
      <c r="R57" s="615"/>
      <c r="S57" s="34">
        <v>0.44027777777777771</v>
      </c>
      <c r="T57" s="34">
        <v>0.51874999999999993</v>
      </c>
      <c r="U57" s="104">
        <f t="shared" si="38"/>
        <v>7.9999999999999716</v>
      </c>
      <c r="V57" s="107">
        <f t="shared" si="37"/>
        <v>113</v>
      </c>
      <c r="W57" s="16"/>
      <c r="X57" s="16"/>
      <c r="Y57" s="19"/>
      <c r="Z57" s="19"/>
      <c r="AA57" s="617"/>
      <c r="AB57" s="617"/>
      <c r="AC57" s="35"/>
      <c r="AD57" s="18"/>
      <c r="AE57" s="14">
        <f t="shared" si="8"/>
        <v>-86.902654867256615</v>
      </c>
      <c r="AF57" s="103">
        <f t="shared" si="9"/>
        <v>0.95654867256637166</v>
      </c>
      <c r="AG57" s="615"/>
    </row>
    <row r="58" spans="1:33" ht="15.75" customHeight="1">
      <c r="A58" s="630" t="s">
        <v>181</v>
      </c>
      <c r="B58" s="29" t="s">
        <v>15</v>
      </c>
      <c r="C58" s="622" t="s">
        <v>48</v>
      </c>
      <c r="D58" s="623"/>
      <c r="E58" s="29">
        <v>55.56</v>
      </c>
      <c r="F58" s="32">
        <v>2390</v>
      </c>
      <c r="G58" s="104">
        <f t="shared" si="35"/>
        <v>132788.4</v>
      </c>
      <c r="H58" s="33" t="s">
        <v>57</v>
      </c>
      <c r="I58" s="106">
        <v>17</v>
      </c>
      <c r="J58" s="31">
        <v>2000</v>
      </c>
      <c r="K58" s="12">
        <f t="shared" si="1"/>
        <v>117.64705882352941</v>
      </c>
      <c r="L58" s="106">
        <v>17</v>
      </c>
      <c r="M58" s="13">
        <f t="shared" si="39"/>
        <v>1911.9999999999986</v>
      </c>
      <c r="N58" s="13">
        <f t="shared" si="3"/>
        <v>112.47058823529403</v>
      </c>
      <c r="O58" s="14">
        <f t="shared" si="4"/>
        <v>0</v>
      </c>
      <c r="P58" s="15">
        <f t="shared" si="5"/>
        <v>-5.1764705882353752</v>
      </c>
      <c r="Q58" s="103">
        <f t="shared" si="6"/>
        <v>0.95599999999999929</v>
      </c>
      <c r="R58" s="615"/>
      <c r="S58" s="34">
        <v>0.70833333333333337</v>
      </c>
      <c r="T58" s="34">
        <v>0.76041666666666674</v>
      </c>
      <c r="U58" s="104" t="str">
        <f t="shared" si="38"/>
        <v/>
      </c>
      <c r="V58" s="107">
        <f t="shared" si="37"/>
        <v>75.000000000000057</v>
      </c>
      <c r="W58" s="16"/>
      <c r="X58" s="16"/>
      <c r="Y58" s="19"/>
      <c r="Z58" s="19"/>
      <c r="AA58" s="624"/>
      <c r="AB58" s="625"/>
      <c r="AC58" s="35"/>
      <c r="AD58" s="18"/>
      <c r="AE58" s="14">
        <f t="shared" si="8"/>
        <v>-88.000000000001364</v>
      </c>
      <c r="AF58" s="103">
        <f t="shared" si="9"/>
        <v>0.95599999999999929</v>
      </c>
      <c r="AG58" s="615"/>
    </row>
    <row r="59" spans="1:33" ht="15.75" customHeight="1">
      <c r="A59" s="630" t="s">
        <v>181</v>
      </c>
      <c r="B59" s="29" t="s">
        <v>15</v>
      </c>
      <c r="C59" s="622" t="s">
        <v>82</v>
      </c>
      <c r="D59" s="623"/>
      <c r="E59" s="29">
        <v>51.06</v>
      </c>
      <c r="F59" s="32">
        <v>3448</v>
      </c>
      <c r="G59" s="104">
        <f t="shared" si="35"/>
        <v>176054.88</v>
      </c>
      <c r="H59" s="33" t="s">
        <v>57</v>
      </c>
      <c r="I59" s="106">
        <v>13</v>
      </c>
      <c r="J59" s="31">
        <v>2000</v>
      </c>
      <c r="K59" s="12">
        <f t="shared" si="1"/>
        <v>153.84615384615384</v>
      </c>
      <c r="L59" s="106">
        <v>13</v>
      </c>
      <c r="M59" s="13">
        <f t="shared" si="39"/>
        <v>1915.5555555555566</v>
      </c>
      <c r="N59" s="13">
        <f t="shared" si="3"/>
        <v>147.35042735042742</v>
      </c>
      <c r="O59" s="14">
        <f t="shared" si="4"/>
        <v>0</v>
      </c>
      <c r="P59" s="15">
        <f t="shared" si="5"/>
        <v>-6.4957264957264158</v>
      </c>
      <c r="Q59" s="103">
        <f t="shared" si="6"/>
        <v>0.95777777777777828</v>
      </c>
      <c r="R59" s="615"/>
      <c r="S59" s="34">
        <v>0.76458333333333339</v>
      </c>
      <c r="T59" s="34">
        <v>0.83958333333333335</v>
      </c>
      <c r="U59" s="104">
        <f t="shared" si="38"/>
        <v>5.9999999999999787</v>
      </c>
      <c r="V59" s="107">
        <f t="shared" si="37"/>
        <v>107.99999999999994</v>
      </c>
      <c r="W59" s="16"/>
      <c r="X59" s="16"/>
      <c r="Y59" s="19"/>
      <c r="Z59" s="19"/>
      <c r="AA59" s="624"/>
      <c r="AB59" s="625"/>
      <c r="AC59" s="35"/>
      <c r="AD59" s="18"/>
      <c r="AE59" s="14">
        <f t="shared" si="8"/>
        <v>-84.444444444443434</v>
      </c>
      <c r="AF59" s="103">
        <f t="shared" si="9"/>
        <v>0.95777777777777828</v>
      </c>
      <c r="AG59" s="615"/>
    </row>
    <row r="60" spans="1:33">
      <c r="A60" s="631" t="s">
        <v>13</v>
      </c>
      <c r="B60" s="29" t="s">
        <v>6</v>
      </c>
      <c r="C60" s="618"/>
      <c r="D60" s="618"/>
      <c r="E60" s="105"/>
      <c r="F60" s="30"/>
      <c r="G60" s="12"/>
      <c r="H60" s="108"/>
      <c r="I60" s="23">
        <v>18.285714285714285</v>
      </c>
      <c r="J60" s="31">
        <v>2000</v>
      </c>
      <c r="K60" s="12">
        <f t="shared" si="1"/>
        <v>109.375</v>
      </c>
      <c r="L60" s="23">
        <v>18.285714285714285</v>
      </c>
      <c r="M60" s="13">
        <f>AVERAGE(M53:M59)</f>
        <v>1912.9046410359438</v>
      </c>
      <c r="N60" s="12">
        <f t="shared" si="3"/>
        <v>104.61197255665319</v>
      </c>
      <c r="O60" s="14">
        <f t="shared" si="4"/>
        <v>0</v>
      </c>
      <c r="P60" s="15">
        <f t="shared" si="5"/>
        <v>-4.7630274433468145</v>
      </c>
      <c r="Q60" s="103">
        <f t="shared" si="6"/>
        <v>0.95645232051797202</v>
      </c>
      <c r="R60" s="615"/>
      <c r="S60" s="34"/>
      <c r="T60" s="34"/>
      <c r="U60" s="104"/>
      <c r="V60" s="107"/>
      <c r="W60" s="12"/>
      <c r="X60" s="12"/>
      <c r="Y60" s="24">
        <f>SUM(Y53:Y59)</f>
        <v>0</v>
      </c>
      <c r="Z60" s="24">
        <f>SUM(Z53:Z59)</f>
        <v>0</v>
      </c>
      <c r="AA60" s="614"/>
      <c r="AB60" s="614"/>
      <c r="AC60" s="24">
        <v>7</v>
      </c>
      <c r="AD60" s="24">
        <f>SUM(AD53:AD59)</f>
        <v>0</v>
      </c>
      <c r="AE60" s="14">
        <f>M60-J60</f>
        <v>-87.095358964056231</v>
      </c>
      <c r="AF60" s="103">
        <f t="shared" si="9"/>
        <v>0.95645232051797191</v>
      </c>
      <c r="AG60" s="615"/>
    </row>
    <row r="61" spans="1:33" ht="15.75" customHeight="1">
      <c r="A61" s="626" t="s">
        <v>182</v>
      </c>
      <c r="B61" s="108" t="s">
        <v>40</v>
      </c>
      <c r="C61" s="616" t="s">
        <v>49</v>
      </c>
      <c r="D61" s="616"/>
      <c r="E61" s="29">
        <v>34.36</v>
      </c>
      <c r="F61" s="32">
        <v>2513</v>
      </c>
      <c r="G61" s="104">
        <f t="shared" ref="G61:G65" si="40">E61*F61</f>
        <v>86346.68</v>
      </c>
      <c r="H61" s="33" t="s">
        <v>57</v>
      </c>
      <c r="I61" s="106">
        <v>10</v>
      </c>
      <c r="J61" s="31">
        <v>3000</v>
      </c>
      <c r="K61" s="12">
        <f t="shared" si="1"/>
        <v>300</v>
      </c>
      <c r="L61" s="106">
        <v>10</v>
      </c>
      <c r="M61" s="13">
        <f t="shared" ref="M61:M65" si="41">F61/V61*60</f>
        <v>2899.6153846153838</v>
      </c>
      <c r="N61" s="12">
        <f t="shared" si="3"/>
        <v>289.9615384615384</v>
      </c>
      <c r="O61" s="14">
        <f t="shared" si="4"/>
        <v>0</v>
      </c>
      <c r="P61" s="15">
        <f t="shared" si="5"/>
        <v>-10.038461538461604</v>
      </c>
      <c r="Q61" s="103">
        <f t="shared" si="6"/>
        <v>0.96653846153846135</v>
      </c>
      <c r="R61" s="615">
        <f>Q66</f>
        <v>0.96221155195681496</v>
      </c>
      <c r="S61" s="34">
        <v>0.20833333333333334</v>
      </c>
      <c r="T61" s="34">
        <v>0.24444444444444446</v>
      </c>
      <c r="U61" s="104"/>
      <c r="V61" s="107">
        <f t="shared" ref="V61:V65" si="42">(T61-S61)*24*60</f>
        <v>52.000000000000014</v>
      </c>
      <c r="W61" s="21"/>
      <c r="X61" s="21"/>
      <c r="Y61" s="21"/>
      <c r="Z61" s="21"/>
      <c r="AA61" s="617"/>
      <c r="AB61" s="617"/>
      <c r="AC61" s="35">
        <v>5</v>
      </c>
      <c r="AD61" s="18"/>
      <c r="AE61" s="14">
        <f t="shared" ref="AE61:AE75" si="43">M61-J61</f>
        <v>-100.38461538461615</v>
      </c>
      <c r="AF61" s="103">
        <f t="shared" si="9"/>
        <v>0.96653846153846124</v>
      </c>
      <c r="AG61" s="615">
        <f>AF66</f>
        <v>0.96221155195681518</v>
      </c>
    </row>
    <row r="62" spans="1:33" ht="15.75" customHeight="1">
      <c r="A62" s="626" t="s">
        <v>182</v>
      </c>
      <c r="B62" s="108" t="s">
        <v>40</v>
      </c>
      <c r="C62" s="616" t="s">
        <v>50</v>
      </c>
      <c r="D62" s="616"/>
      <c r="E62" s="29">
        <v>34.36</v>
      </c>
      <c r="F62" s="32">
        <v>1226</v>
      </c>
      <c r="G62" s="104">
        <f t="shared" si="40"/>
        <v>42125.36</v>
      </c>
      <c r="H62" s="33" t="s">
        <v>57</v>
      </c>
      <c r="I62" s="106">
        <v>10</v>
      </c>
      <c r="J62" s="31">
        <v>3000</v>
      </c>
      <c r="K62" s="12">
        <f t="shared" si="1"/>
        <v>300</v>
      </c>
      <c r="L62" s="106">
        <v>10</v>
      </c>
      <c r="M62" s="13">
        <f t="shared" si="41"/>
        <v>2942.400000000001</v>
      </c>
      <c r="N62" s="12">
        <f t="shared" si="3"/>
        <v>294.24000000000012</v>
      </c>
      <c r="O62" s="14">
        <f t="shared" si="4"/>
        <v>0</v>
      </c>
      <c r="P62" s="15">
        <f t="shared" si="5"/>
        <v>-5.7599999999998772</v>
      </c>
      <c r="Q62" s="103">
        <f t="shared" si="6"/>
        <v>0.98080000000000045</v>
      </c>
      <c r="R62" s="615"/>
      <c r="S62" s="34">
        <v>0.25</v>
      </c>
      <c r="T62" s="34">
        <v>0.2673611111111111</v>
      </c>
      <c r="U62" s="104">
        <f t="shared" ref="U62:U65" si="44">(S62-T61)*24*60</f>
        <v>7.9999999999999716</v>
      </c>
      <c r="V62" s="107">
        <f t="shared" si="42"/>
        <v>24.999999999999993</v>
      </c>
      <c r="W62" s="104"/>
      <c r="X62" s="104"/>
      <c r="Y62" s="104"/>
      <c r="Z62" s="104"/>
      <c r="AA62" s="617"/>
      <c r="AB62" s="617"/>
      <c r="AC62" s="35"/>
      <c r="AD62" s="18"/>
      <c r="AE62" s="14">
        <f t="shared" si="43"/>
        <v>-57.599999999999</v>
      </c>
      <c r="AF62" s="103">
        <f t="shared" si="9"/>
        <v>0.98080000000000034</v>
      </c>
      <c r="AG62" s="615"/>
    </row>
    <row r="63" spans="1:33" ht="15.75" customHeight="1">
      <c r="A63" s="626" t="s">
        <v>182</v>
      </c>
      <c r="B63" s="108" t="s">
        <v>40</v>
      </c>
      <c r="C63" s="616" t="s">
        <v>51</v>
      </c>
      <c r="D63" s="616"/>
      <c r="E63" s="29">
        <v>26.78</v>
      </c>
      <c r="F63" s="32">
        <v>2720</v>
      </c>
      <c r="G63" s="104">
        <f t="shared" si="40"/>
        <v>72841.600000000006</v>
      </c>
      <c r="H63" s="33" t="s">
        <v>57</v>
      </c>
      <c r="I63" s="106">
        <v>10</v>
      </c>
      <c r="J63" s="31">
        <v>3000</v>
      </c>
      <c r="K63" s="12">
        <f t="shared" si="1"/>
        <v>300</v>
      </c>
      <c r="L63" s="106">
        <v>10</v>
      </c>
      <c r="M63" s="13">
        <f t="shared" si="41"/>
        <v>2863.1578947368403</v>
      </c>
      <c r="N63" s="12">
        <f t="shared" si="3"/>
        <v>286.31578947368405</v>
      </c>
      <c r="O63" s="14">
        <f t="shared" si="4"/>
        <v>0</v>
      </c>
      <c r="P63" s="15">
        <f t="shared" si="5"/>
        <v>-13.684210526315951</v>
      </c>
      <c r="Q63" s="103">
        <f t="shared" si="6"/>
        <v>0.95438596491228012</v>
      </c>
      <c r="R63" s="615"/>
      <c r="S63" s="34">
        <v>0.27152777777777776</v>
      </c>
      <c r="T63" s="34">
        <v>0.31111111111111112</v>
      </c>
      <c r="U63" s="104">
        <f t="shared" si="44"/>
        <v>5.9999999999999787</v>
      </c>
      <c r="V63" s="107">
        <f t="shared" si="42"/>
        <v>57.000000000000036</v>
      </c>
      <c r="W63" s="104"/>
      <c r="X63" s="104"/>
      <c r="Y63" s="104"/>
      <c r="Z63" s="104"/>
      <c r="AA63" s="617"/>
      <c r="AB63" s="617"/>
      <c r="AC63" s="35"/>
      <c r="AD63" s="18"/>
      <c r="AE63" s="14">
        <f t="shared" si="43"/>
        <v>-136.84210526315974</v>
      </c>
      <c r="AF63" s="103">
        <f t="shared" si="9"/>
        <v>0.95438596491228012</v>
      </c>
      <c r="AG63" s="615"/>
    </row>
    <row r="64" spans="1:33" ht="15.75" customHeight="1">
      <c r="A64" s="626" t="s">
        <v>182</v>
      </c>
      <c r="B64" s="108" t="s">
        <v>40</v>
      </c>
      <c r="C64" s="616" t="s">
        <v>52</v>
      </c>
      <c r="D64" s="616"/>
      <c r="E64" s="29">
        <v>35.869999999999997</v>
      </c>
      <c r="F64" s="32">
        <v>4288</v>
      </c>
      <c r="G64" s="104">
        <f t="shared" si="40"/>
        <v>153810.56</v>
      </c>
      <c r="H64" s="33" t="s">
        <v>57</v>
      </c>
      <c r="I64" s="106">
        <v>9</v>
      </c>
      <c r="J64" s="31">
        <v>3000</v>
      </c>
      <c r="K64" s="12">
        <f t="shared" si="1"/>
        <v>333.33333333333331</v>
      </c>
      <c r="L64" s="106">
        <v>9</v>
      </c>
      <c r="M64" s="13">
        <f t="shared" si="41"/>
        <v>2858.666666666667</v>
      </c>
      <c r="N64" s="12">
        <f t="shared" si="3"/>
        <v>317.62962962962968</v>
      </c>
      <c r="O64" s="14">
        <f t="shared" si="4"/>
        <v>0</v>
      </c>
      <c r="P64" s="15">
        <f t="shared" si="5"/>
        <v>-15.703703703703638</v>
      </c>
      <c r="Q64" s="103">
        <f t="shared" si="6"/>
        <v>0.95288888888888912</v>
      </c>
      <c r="R64" s="615"/>
      <c r="S64" s="34">
        <v>0.31527777777777777</v>
      </c>
      <c r="T64" s="34">
        <v>0.37777777777777777</v>
      </c>
      <c r="U64" s="104">
        <f t="shared" si="44"/>
        <v>5.9999999999999787</v>
      </c>
      <c r="V64" s="107">
        <f t="shared" si="42"/>
        <v>90</v>
      </c>
      <c r="W64" s="104"/>
      <c r="X64" s="104"/>
      <c r="Y64" s="104"/>
      <c r="Z64" s="104"/>
      <c r="AA64" s="617"/>
      <c r="AB64" s="617"/>
      <c r="AC64" s="35"/>
      <c r="AD64" s="18"/>
      <c r="AE64" s="14">
        <f t="shared" si="43"/>
        <v>-141.33333333333303</v>
      </c>
      <c r="AF64" s="103">
        <f t="shared" si="9"/>
        <v>0.95288888888888901</v>
      </c>
      <c r="AG64" s="615"/>
    </row>
    <row r="65" spans="1:33">
      <c r="A65" s="627" t="s">
        <v>182</v>
      </c>
      <c r="B65" s="108" t="s">
        <v>40</v>
      </c>
      <c r="C65" s="616" t="s">
        <v>53</v>
      </c>
      <c r="D65" s="616"/>
      <c r="E65" s="29">
        <v>34.35</v>
      </c>
      <c r="F65" s="32">
        <v>2152</v>
      </c>
      <c r="G65" s="104">
        <f t="shared" si="40"/>
        <v>73921.2</v>
      </c>
      <c r="H65" s="33" t="s">
        <v>57</v>
      </c>
      <c r="I65" s="106">
        <v>8</v>
      </c>
      <c r="J65" s="31">
        <v>3000</v>
      </c>
      <c r="K65" s="12">
        <f t="shared" si="1"/>
        <v>375</v>
      </c>
      <c r="L65" s="106">
        <v>8</v>
      </c>
      <c r="M65" s="13">
        <f t="shared" si="41"/>
        <v>2869.3333333333335</v>
      </c>
      <c r="N65" s="12">
        <f t="shared" si="3"/>
        <v>358.66666666666669</v>
      </c>
      <c r="O65" s="14">
        <f t="shared" si="4"/>
        <v>0</v>
      </c>
      <c r="P65" s="15">
        <f t="shared" si="5"/>
        <v>-16.333333333333314</v>
      </c>
      <c r="Q65" s="103">
        <f t="shared" si="6"/>
        <v>0.95644444444444454</v>
      </c>
      <c r="R65" s="615"/>
      <c r="S65" s="34">
        <v>0.38124999999999998</v>
      </c>
      <c r="T65" s="34">
        <v>0.41249999999999998</v>
      </c>
      <c r="U65" s="104">
        <f t="shared" si="44"/>
        <v>4.9999999999999822</v>
      </c>
      <c r="V65" s="107">
        <f t="shared" si="42"/>
        <v>45</v>
      </c>
      <c r="W65" s="16"/>
      <c r="X65" s="16"/>
      <c r="Y65" s="16"/>
      <c r="Z65" s="16"/>
      <c r="AA65" s="617"/>
      <c r="AB65" s="617"/>
      <c r="AC65" s="35"/>
      <c r="AD65" s="18"/>
      <c r="AE65" s="14">
        <f t="shared" si="43"/>
        <v>-130.66666666666652</v>
      </c>
      <c r="AF65" s="103">
        <f t="shared" si="9"/>
        <v>0.95644444444444454</v>
      </c>
      <c r="AG65" s="615"/>
    </row>
    <row r="66" spans="1:33">
      <c r="A66" s="627" t="s">
        <v>182</v>
      </c>
      <c r="B66" s="29" t="s">
        <v>175</v>
      </c>
      <c r="C66" s="618"/>
      <c r="D66" s="618"/>
      <c r="E66" s="105"/>
      <c r="F66" s="30"/>
      <c r="G66" s="12"/>
      <c r="H66" s="108"/>
      <c r="I66" s="23">
        <v>9.4</v>
      </c>
      <c r="J66" s="31">
        <v>3000</v>
      </c>
      <c r="K66" s="12">
        <f t="shared" si="1"/>
        <v>319.14893617021278</v>
      </c>
      <c r="L66" s="23">
        <v>9.4</v>
      </c>
      <c r="M66" s="13">
        <f>AVERAGE(M61:M65)</f>
        <v>2886.6346558704454</v>
      </c>
      <c r="N66" s="12">
        <f t="shared" si="3"/>
        <v>307.08879317770692</v>
      </c>
      <c r="O66" s="14">
        <f t="shared" si="4"/>
        <v>0</v>
      </c>
      <c r="P66" s="15">
        <f t="shared" si="5"/>
        <v>-12.06014299250586</v>
      </c>
      <c r="Q66" s="103">
        <f t="shared" si="6"/>
        <v>0.96221155195681496</v>
      </c>
      <c r="R66" s="615"/>
      <c r="S66" s="34"/>
      <c r="T66" s="34"/>
      <c r="U66" s="12"/>
      <c r="V66" s="107"/>
      <c r="W66" s="12"/>
      <c r="X66" s="12"/>
      <c r="Y66" s="24">
        <f>SUM(Y61:Y65)</f>
        <v>0</v>
      </c>
      <c r="Z66" s="24">
        <f>SUM(Z61:Z65)</f>
        <v>0</v>
      </c>
      <c r="AA66" s="614"/>
      <c r="AB66" s="614"/>
      <c r="AC66" s="24">
        <v>5</v>
      </c>
      <c r="AD66" s="24">
        <f>SUM(AD61:AD65)</f>
        <v>0</v>
      </c>
      <c r="AE66" s="14">
        <f t="shared" si="43"/>
        <v>-113.36534412955461</v>
      </c>
      <c r="AF66" s="103">
        <f t="shared" si="9"/>
        <v>0.96221155195681518</v>
      </c>
      <c r="AG66" s="615"/>
    </row>
    <row r="67" spans="1:33" ht="15.75" customHeight="1">
      <c r="A67" s="619" t="s">
        <v>183</v>
      </c>
      <c r="B67" s="108" t="s">
        <v>32</v>
      </c>
      <c r="C67" s="616" t="s">
        <v>55</v>
      </c>
      <c r="D67" s="616"/>
      <c r="E67" s="29">
        <v>22.69</v>
      </c>
      <c r="F67" s="108">
        <v>4314</v>
      </c>
      <c r="G67" s="104">
        <f t="shared" ref="G67:G74" si="45">E67*F67</f>
        <v>97884.66</v>
      </c>
      <c r="H67" s="33" t="s">
        <v>57</v>
      </c>
      <c r="I67" s="106">
        <v>15</v>
      </c>
      <c r="J67" s="31">
        <v>2400</v>
      </c>
      <c r="K67" s="12">
        <f t="shared" si="1"/>
        <v>160</v>
      </c>
      <c r="L67" s="106">
        <v>15</v>
      </c>
      <c r="M67" s="13">
        <f t="shared" ref="M67:M74" si="46">F67/V67*60</f>
        <v>2290.6194690265493</v>
      </c>
      <c r="N67" s="12">
        <f t="shared" si="3"/>
        <v>152.70796460176996</v>
      </c>
      <c r="O67" s="14">
        <f t="shared" si="4"/>
        <v>0</v>
      </c>
      <c r="P67" s="15">
        <f t="shared" si="5"/>
        <v>-7.2920353982300412</v>
      </c>
      <c r="Q67" s="103">
        <f t="shared" si="6"/>
        <v>0.95442477876106224</v>
      </c>
      <c r="R67" s="615">
        <f>Q75</f>
        <v>0.95691646650603046</v>
      </c>
      <c r="S67" s="34">
        <v>8.3333333333333329E-2</v>
      </c>
      <c r="T67" s="34">
        <v>0.16180555555555554</v>
      </c>
      <c r="U67" s="21"/>
      <c r="V67" s="107">
        <f t="shared" ref="V67:V74" si="47">(T67-S67)*24*60</f>
        <v>112.99999999999997</v>
      </c>
      <c r="W67" s="16">
        <f>T67</f>
        <v>0.16180555555555554</v>
      </c>
      <c r="X67" s="16">
        <f>S68</f>
        <v>0.18263888888888888</v>
      </c>
      <c r="Y67" s="16"/>
      <c r="Z67" s="16"/>
      <c r="AA67" s="617"/>
      <c r="AB67" s="617"/>
      <c r="AC67" s="35">
        <v>8</v>
      </c>
      <c r="AD67" s="18"/>
      <c r="AE67" s="14">
        <f t="shared" si="43"/>
        <v>-109.38053097345073</v>
      </c>
      <c r="AF67" s="103">
        <f t="shared" si="9"/>
        <v>0.95442477876106224</v>
      </c>
      <c r="AG67" s="615">
        <f>AF75</f>
        <v>0.95691646650603046</v>
      </c>
    </row>
    <row r="68" spans="1:33" ht="15.75" customHeight="1">
      <c r="A68" s="620" t="s">
        <v>183</v>
      </c>
      <c r="B68" s="108" t="s">
        <v>32</v>
      </c>
      <c r="C68" s="616" t="s">
        <v>56</v>
      </c>
      <c r="D68" s="616"/>
      <c r="E68" s="29">
        <v>19.02</v>
      </c>
      <c r="F68" s="108">
        <v>6400</v>
      </c>
      <c r="G68" s="104">
        <f t="shared" si="45"/>
        <v>121728</v>
      </c>
      <c r="H68" s="33">
        <v>2</v>
      </c>
      <c r="I68" s="106">
        <v>14</v>
      </c>
      <c r="J68" s="31">
        <v>2400</v>
      </c>
      <c r="K68" s="12">
        <f t="shared" si="1"/>
        <v>171.42857142857142</v>
      </c>
      <c r="L68" s="106">
        <v>14</v>
      </c>
      <c r="M68" s="13">
        <f t="shared" si="46"/>
        <v>2285.7142857142858</v>
      </c>
      <c r="N68" s="12">
        <f t="shared" si="3"/>
        <v>163.26530612244898</v>
      </c>
      <c r="O68" s="14">
        <f t="shared" si="4"/>
        <v>0</v>
      </c>
      <c r="P68" s="15">
        <f t="shared" si="5"/>
        <v>-8.1632653061224403</v>
      </c>
      <c r="Q68" s="103">
        <f t="shared" si="6"/>
        <v>0.95238095238095244</v>
      </c>
      <c r="R68" s="615"/>
      <c r="S68" s="34">
        <v>0.18263888888888888</v>
      </c>
      <c r="T68" s="34">
        <v>0.29930555555555555</v>
      </c>
      <c r="U68" s="104">
        <f t="shared" ref="U68:U74" si="48">(S68-T67)*24*60</f>
        <v>30.000000000000014</v>
      </c>
      <c r="V68" s="107">
        <f t="shared" si="47"/>
        <v>168</v>
      </c>
      <c r="W68" s="16"/>
      <c r="X68" s="16"/>
      <c r="Y68" s="16"/>
      <c r="Z68" s="16"/>
      <c r="AA68" s="617"/>
      <c r="AB68" s="617"/>
      <c r="AC68" s="35"/>
      <c r="AD68" s="18"/>
      <c r="AE68" s="14">
        <f t="shared" si="43"/>
        <v>-114.28571428571422</v>
      </c>
      <c r="AF68" s="103">
        <f t="shared" si="9"/>
        <v>0.95238095238095244</v>
      </c>
      <c r="AG68" s="615"/>
    </row>
    <row r="69" spans="1:33" ht="15.75" customHeight="1">
      <c r="A69" s="620" t="s">
        <v>183</v>
      </c>
      <c r="B69" s="108" t="s">
        <v>32</v>
      </c>
      <c r="C69" s="616" t="s">
        <v>36</v>
      </c>
      <c r="D69" s="616"/>
      <c r="E69" s="29">
        <v>20.36</v>
      </c>
      <c r="F69" s="108">
        <v>3000</v>
      </c>
      <c r="G69" s="104">
        <f t="shared" si="45"/>
        <v>61080</v>
      </c>
      <c r="H69" s="33">
        <v>2</v>
      </c>
      <c r="I69" s="106">
        <v>17</v>
      </c>
      <c r="J69" s="31">
        <v>2400</v>
      </c>
      <c r="K69" s="12">
        <f t="shared" ref="K69:K75" si="49">J69/I69</f>
        <v>141.1764705882353</v>
      </c>
      <c r="L69" s="106">
        <v>17</v>
      </c>
      <c r="M69" s="13">
        <f t="shared" si="46"/>
        <v>2307.692307692309</v>
      </c>
      <c r="N69" s="12">
        <f t="shared" ref="N69:N75" si="50">M69/L69</f>
        <v>135.74660633484172</v>
      </c>
      <c r="O69" s="14">
        <f t="shared" ref="O69:O75" si="51">L69-I69</f>
        <v>0</v>
      </c>
      <c r="P69" s="15">
        <f t="shared" ref="P69:P75" si="52">N69-K69</f>
        <v>-5.429864253393589</v>
      </c>
      <c r="Q69" s="103">
        <f t="shared" ref="Q69:Q75" si="53">N69/K69</f>
        <v>0.96153846153846212</v>
      </c>
      <c r="R69" s="615"/>
      <c r="S69" s="34">
        <v>0.30486111111111108</v>
      </c>
      <c r="T69" s="34">
        <v>0.35902777777777772</v>
      </c>
      <c r="U69" s="104">
        <f t="shared" si="48"/>
        <v>7.9999999999999716</v>
      </c>
      <c r="V69" s="107">
        <f t="shared" si="47"/>
        <v>77.999999999999957</v>
      </c>
      <c r="W69" s="16"/>
      <c r="X69" s="16"/>
      <c r="Y69" s="16"/>
      <c r="Z69" s="16"/>
      <c r="AA69" s="617"/>
      <c r="AB69" s="617"/>
      <c r="AC69" s="35"/>
      <c r="AD69" s="18"/>
      <c r="AE69" s="14">
        <f t="shared" si="43"/>
        <v>-92.307692307691013</v>
      </c>
      <c r="AF69" s="103">
        <f t="shared" ref="AF69:AF75" si="54">M69/J69</f>
        <v>0.96153846153846212</v>
      </c>
      <c r="AG69" s="615"/>
    </row>
    <row r="70" spans="1:33" ht="15.75" customHeight="1">
      <c r="A70" s="620" t="s">
        <v>14</v>
      </c>
      <c r="B70" s="108" t="s">
        <v>32</v>
      </c>
      <c r="C70" s="616" t="s">
        <v>84</v>
      </c>
      <c r="D70" s="616"/>
      <c r="E70" s="29">
        <v>20.21</v>
      </c>
      <c r="F70" s="108">
        <v>4200</v>
      </c>
      <c r="G70" s="104">
        <f t="shared" si="45"/>
        <v>84882</v>
      </c>
      <c r="H70" s="33">
        <v>2</v>
      </c>
      <c r="I70" s="106">
        <v>18</v>
      </c>
      <c r="J70" s="31">
        <v>2400</v>
      </c>
      <c r="K70" s="12">
        <f t="shared" si="49"/>
        <v>133.33333333333334</v>
      </c>
      <c r="L70" s="106">
        <v>18</v>
      </c>
      <c r="M70" s="13">
        <f t="shared" si="46"/>
        <v>2290.909090909091</v>
      </c>
      <c r="N70" s="12">
        <f t="shared" si="50"/>
        <v>127.27272727272728</v>
      </c>
      <c r="O70" s="14">
        <f t="shared" si="51"/>
        <v>0</v>
      </c>
      <c r="P70" s="15">
        <f t="shared" si="52"/>
        <v>-6.0606060606060623</v>
      </c>
      <c r="Q70" s="103">
        <f t="shared" si="53"/>
        <v>0.95454545454545459</v>
      </c>
      <c r="R70" s="615"/>
      <c r="S70" s="34">
        <v>0.36388888888888882</v>
      </c>
      <c r="T70" s="34">
        <v>0.44027777777777771</v>
      </c>
      <c r="U70" s="104">
        <f t="shared" si="48"/>
        <v>6.9999999999999751</v>
      </c>
      <c r="V70" s="107">
        <f t="shared" si="47"/>
        <v>110.00000000000001</v>
      </c>
      <c r="W70" s="16"/>
      <c r="X70" s="16"/>
      <c r="Y70" s="16"/>
      <c r="Z70" s="16"/>
      <c r="AA70" s="617"/>
      <c r="AB70" s="617"/>
      <c r="AC70" s="35"/>
      <c r="AD70" s="18"/>
      <c r="AE70" s="14">
        <f t="shared" si="43"/>
        <v>-109.09090909090901</v>
      </c>
      <c r="AF70" s="103">
        <f t="shared" si="54"/>
        <v>0.95454545454545459</v>
      </c>
      <c r="AG70" s="615"/>
    </row>
    <row r="71" spans="1:33" ht="15.75" customHeight="1">
      <c r="A71" s="620" t="s">
        <v>14</v>
      </c>
      <c r="B71" s="108" t="s">
        <v>32</v>
      </c>
      <c r="C71" s="616" t="s">
        <v>54</v>
      </c>
      <c r="D71" s="616"/>
      <c r="E71" s="29">
        <v>20.21</v>
      </c>
      <c r="F71" s="108">
        <v>3687</v>
      </c>
      <c r="G71" s="104">
        <f t="shared" si="45"/>
        <v>74514.27</v>
      </c>
      <c r="H71" s="33" t="s">
        <v>57</v>
      </c>
      <c r="I71" s="106">
        <v>15</v>
      </c>
      <c r="J71" s="31">
        <v>2400</v>
      </c>
      <c r="K71" s="12">
        <f t="shared" si="49"/>
        <v>160</v>
      </c>
      <c r="L71" s="106">
        <v>15</v>
      </c>
      <c r="M71" s="13">
        <f t="shared" si="46"/>
        <v>2304.3749999999986</v>
      </c>
      <c r="N71" s="12">
        <f t="shared" si="50"/>
        <v>153.62499999999991</v>
      </c>
      <c r="O71" s="14">
        <f t="shared" si="51"/>
        <v>0</v>
      </c>
      <c r="P71" s="15">
        <f t="shared" si="52"/>
        <v>-6.3750000000000853</v>
      </c>
      <c r="Q71" s="103">
        <f t="shared" si="53"/>
        <v>0.96015624999999949</v>
      </c>
      <c r="R71" s="615"/>
      <c r="S71" s="34">
        <v>0.44444444444444436</v>
      </c>
      <c r="T71" s="34">
        <v>0.51111111111111107</v>
      </c>
      <c r="U71" s="104">
        <f t="shared" si="48"/>
        <v>5.9999999999999787</v>
      </c>
      <c r="V71" s="107">
        <f t="shared" si="47"/>
        <v>96.000000000000057</v>
      </c>
      <c r="W71" s="16">
        <f>T71</f>
        <v>0.51111111111111107</v>
      </c>
      <c r="X71" s="16">
        <f>S72</f>
        <v>0.55208333333333326</v>
      </c>
      <c r="Y71" s="16"/>
      <c r="Z71" s="16"/>
      <c r="AA71" s="617"/>
      <c r="AB71" s="617"/>
      <c r="AC71" s="35"/>
      <c r="AD71" s="18"/>
      <c r="AE71" s="14">
        <f t="shared" si="43"/>
        <v>-95.625000000001364</v>
      </c>
      <c r="AF71" s="103">
        <f t="shared" si="54"/>
        <v>0.96015624999999938</v>
      </c>
      <c r="AG71" s="615"/>
    </row>
    <row r="72" spans="1:33" ht="15.75" customHeight="1">
      <c r="A72" s="620" t="s">
        <v>14</v>
      </c>
      <c r="B72" s="108" t="s">
        <v>32</v>
      </c>
      <c r="C72" s="616" t="s">
        <v>56</v>
      </c>
      <c r="D72" s="616"/>
      <c r="E72" s="29">
        <v>19.02</v>
      </c>
      <c r="F72" s="108">
        <v>5269</v>
      </c>
      <c r="G72" s="104">
        <f t="shared" si="45"/>
        <v>100216.38</v>
      </c>
      <c r="H72" s="33" t="s">
        <v>57</v>
      </c>
      <c r="I72" s="106">
        <v>14</v>
      </c>
      <c r="J72" s="31">
        <v>2400</v>
      </c>
      <c r="K72" s="12">
        <f t="shared" si="49"/>
        <v>171.42857142857142</v>
      </c>
      <c r="L72" s="106">
        <v>14</v>
      </c>
      <c r="M72" s="13">
        <f t="shared" si="46"/>
        <v>2290.869565217391</v>
      </c>
      <c r="N72" s="12">
        <f t="shared" si="50"/>
        <v>163.63354037267078</v>
      </c>
      <c r="O72" s="14">
        <f t="shared" si="51"/>
        <v>0</v>
      </c>
      <c r="P72" s="15">
        <f t="shared" si="52"/>
        <v>-7.7950310559006368</v>
      </c>
      <c r="Q72" s="103">
        <f t="shared" si="53"/>
        <v>0.9545289855072463</v>
      </c>
      <c r="R72" s="615"/>
      <c r="S72" s="34">
        <v>0.55208333333333326</v>
      </c>
      <c r="T72" s="34">
        <v>0.64791666666666659</v>
      </c>
      <c r="U72" s="104">
        <f t="shared" si="48"/>
        <v>58.99999999999995</v>
      </c>
      <c r="V72" s="107">
        <f t="shared" si="47"/>
        <v>138</v>
      </c>
      <c r="W72" s="16"/>
      <c r="X72" s="16"/>
      <c r="Y72" s="16"/>
      <c r="Z72" s="16"/>
      <c r="AA72" s="617"/>
      <c r="AB72" s="617"/>
      <c r="AC72" s="35"/>
      <c r="AD72" s="18"/>
      <c r="AE72" s="14">
        <f t="shared" si="43"/>
        <v>-109.13043478260897</v>
      </c>
      <c r="AF72" s="103">
        <f t="shared" si="54"/>
        <v>0.9545289855072463</v>
      </c>
      <c r="AG72" s="615"/>
    </row>
    <row r="73" spans="1:33" ht="15.75" customHeight="1">
      <c r="A73" s="620" t="s">
        <v>14</v>
      </c>
      <c r="B73" s="108" t="s">
        <v>32</v>
      </c>
      <c r="C73" s="622" t="s">
        <v>36</v>
      </c>
      <c r="D73" s="623"/>
      <c r="E73" s="29">
        <v>20.36</v>
      </c>
      <c r="F73" s="108">
        <v>2307</v>
      </c>
      <c r="G73" s="104">
        <f t="shared" si="45"/>
        <v>46970.52</v>
      </c>
      <c r="H73" s="33" t="s">
        <v>57</v>
      </c>
      <c r="I73" s="106">
        <v>17</v>
      </c>
      <c r="J73" s="31">
        <v>2400</v>
      </c>
      <c r="K73" s="12">
        <f t="shared" si="49"/>
        <v>141.1764705882353</v>
      </c>
      <c r="L73" s="106">
        <v>17</v>
      </c>
      <c r="M73" s="13">
        <f t="shared" si="46"/>
        <v>2307.0000000000023</v>
      </c>
      <c r="N73" s="12">
        <f t="shared" si="50"/>
        <v>135.7058823529413</v>
      </c>
      <c r="O73" s="14">
        <f t="shared" si="51"/>
        <v>0</v>
      </c>
      <c r="P73" s="15">
        <f t="shared" si="52"/>
        <v>-5.4705882352940023</v>
      </c>
      <c r="Q73" s="103">
        <f t="shared" si="53"/>
        <v>0.96125000000000083</v>
      </c>
      <c r="R73" s="615"/>
      <c r="S73" s="34">
        <v>0.65347222222222212</v>
      </c>
      <c r="T73" s="34">
        <v>0.69513888888888875</v>
      </c>
      <c r="U73" s="104">
        <f t="shared" si="48"/>
        <v>7.9999999999999716</v>
      </c>
      <c r="V73" s="107">
        <f t="shared" si="47"/>
        <v>59.999999999999943</v>
      </c>
      <c r="W73" s="16"/>
      <c r="X73" s="16"/>
      <c r="Y73" s="19"/>
      <c r="Z73" s="19"/>
      <c r="AA73" s="624"/>
      <c r="AB73" s="625"/>
      <c r="AC73" s="35"/>
      <c r="AD73" s="18"/>
      <c r="AE73" s="14">
        <f t="shared" si="43"/>
        <v>-92.999999999997726</v>
      </c>
      <c r="AF73" s="103">
        <f t="shared" si="54"/>
        <v>0.96125000000000094</v>
      </c>
      <c r="AG73" s="615"/>
    </row>
    <row r="74" spans="1:33" ht="15.75" customHeight="1">
      <c r="A74" s="620" t="s">
        <v>14</v>
      </c>
      <c r="B74" s="108" t="s">
        <v>32</v>
      </c>
      <c r="C74" s="622" t="s">
        <v>84</v>
      </c>
      <c r="D74" s="623"/>
      <c r="E74" s="29">
        <v>20.21</v>
      </c>
      <c r="F74" s="108">
        <v>2793</v>
      </c>
      <c r="G74" s="104">
        <f t="shared" si="45"/>
        <v>56446.53</v>
      </c>
      <c r="H74" s="33" t="s">
        <v>57</v>
      </c>
      <c r="I74" s="106">
        <v>18</v>
      </c>
      <c r="J74" s="31">
        <v>2400</v>
      </c>
      <c r="K74" s="12">
        <f t="shared" si="49"/>
        <v>133.33333333333334</v>
      </c>
      <c r="L74" s="106">
        <v>18</v>
      </c>
      <c r="M74" s="13">
        <f t="shared" si="46"/>
        <v>2295.6164383561627</v>
      </c>
      <c r="N74" s="12">
        <f t="shared" si="50"/>
        <v>127.53424657534237</v>
      </c>
      <c r="O74" s="14">
        <f t="shared" si="51"/>
        <v>0</v>
      </c>
      <c r="P74" s="15">
        <f t="shared" si="52"/>
        <v>-5.7990867579909775</v>
      </c>
      <c r="Q74" s="103">
        <f t="shared" si="53"/>
        <v>0.95650684931506769</v>
      </c>
      <c r="R74" s="615"/>
      <c r="S74" s="34">
        <v>0.70069444444444429</v>
      </c>
      <c r="T74" s="34">
        <v>0.75138888888888877</v>
      </c>
      <c r="U74" s="104">
        <f t="shared" si="48"/>
        <v>7.9999999999999716</v>
      </c>
      <c r="V74" s="107">
        <f t="shared" si="47"/>
        <v>73.000000000000057</v>
      </c>
      <c r="W74" s="16"/>
      <c r="X74" s="16"/>
      <c r="Y74" s="19"/>
      <c r="Z74" s="19"/>
      <c r="AA74" s="624"/>
      <c r="AB74" s="625"/>
      <c r="AC74" s="35"/>
      <c r="AD74" s="18"/>
      <c r="AE74" s="14">
        <f t="shared" si="43"/>
        <v>-104.38356164383731</v>
      </c>
      <c r="AF74" s="103">
        <f t="shared" si="54"/>
        <v>0.9565068493150678</v>
      </c>
      <c r="AG74" s="615"/>
    </row>
    <row r="75" spans="1:33" ht="16.5" customHeight="1">
      <c r="A75" s="621" t="s">
        <v>14</v>
      </c>
      <c r="B75" s="29" t="s">
        <v>184</v>
      </c>
      <c r="C75" s="612"/>
      <c r="D75" s="613"/>
      <c r="E75" s="105"/>
      <c r="F75" s="30"/>
      <c r="G75" s="12"/>
      <c r="H75" s="108"/>
      <c r="I75" s="23">
        <v>16</v>
      </c>
      <c r="J75" s="31">
        <v>2400</v>
      </c>
      <c r="K75" s="12">
        <f t="shared" si="49"/>
        <v>150</v>
      </c>
      <c r="L75" s="23">
        <v>16</v>
      </c>
      <c r="M75" s="13">
        <f>AVERAGE(M67:M74)</f>
        <v>2296.5995196144731</v>
      </c>
      <c r="N75" s="12">
        <f t="shared" si="50"/>
        <v>143.53746997590457</v>
      </c>
      <c r="O75" s="14">
        <f t="shared" si="51"/>
        <v>0</v>
      </c>
      <c r="P75" s="15">
        <f t="shared" si="52"/>
        <v>-6.4625300240954289</v>
      </c>
      <c r="Q75" s="103">
        <f t="shared" si="53"/>
        <v>0.95691646650603046</v>
      </c>
      <c r="R75" s="615"/>
      <c r="S75" s="34"/>
      <c r="T75" s="34"/>
      <c r="U75" s="12"/>
      <c r="V75" s="107"/>
      <c r="W75" s="12"/>
      <c r="X75" s="12"/>
      <c r="Y75" s="24">
        <f>SUM(Y67:Y74)</f>
        <v>0</v>
      </c>
      <c r="Z75" s="24">
        <f>SUM(Z67:Z74)</f>
        <v>0</v>
      </c>
      <c r="AA75" s="614"/>
      <c r="AB75" s="614"/>
      <c r="AC75" s="24">
        <v>8</v>
      </c>
      <c r="AD75" s="24">
        <f>SUM(AD67:AD74)</f>
        <v>0</v>
      </c>
      <c r="AE75" s="14">
        <f t="shared" si="43"/>
        <v>-103.40048038552686</v>
      </c>
      <c r="AF75" s="103">
        <f t="shared" si="54"/>
        <v>0.95691646650603046</v>
      </c>
      <c r="AG75" s="615"/>
    </row>
    <row r="76" spans="1:33">
      <c r="D76" s="25"/>
      <c r="E76" s="25"/>
    </row>
  </sheetData>
  <mergeCells count="19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2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2:D22"/>
    <mergeCell ref="AA22:AB22"/>
    <mergeCell ref="A23:A30"/>
    <mergeCell ref="C23:D23"/>
    <mergeCell ref="R23:R30"/>
    <mergeCell ref="AA23:AB23"/>
    <mergeCell ref="AA28:AB28"/>
    <mergeCell ref="A15:A22"/>
    <mergeCell ref="C15:D15"/>
    <mergeCell ref="R15:R22"/>
    <mergeCell ref="AA15:AB15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31:A38"/>
    <mergeCell ref="C31:D31"/>
    <mergeCell ref="R31:R38"/>
    <mergeCell ref="AA31:AB31"/>
    <mergeCell ref="AA36:AB36"/>
    <mergeCell ref="C37:D37"/>
    <mergeCell ref="AG31:AG38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8:D38"/>
    <mergeCell ref="AA38:AB38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A39:A47"/>
    <mergeCell ref="A53:A60"/>
    <mergeCell ref="C53:D53"/>
    <mergeCell ref="R53:R60"/>
    <mergeCell ref="AA53:AB53"/>
    <mergeCell ref="AG53:AG60"/>
    <mergeCell ref="C54:D54"/>
    <mergeCell ref="AA54:AB54"/>
    <mergeCell ref="C55:D55"/>
    <mergeCell ref="AA55:AB55"/>
    <mergeCell ref="AA56:AB56"/>
    <mergeCell ref="AG61:AG66"/>
    <mergeCell ref="C62:D62"/>
    <mergeCell ref="AA62:AB62"/>
    <mergeCell ref="C63:D63"/>
    <mergeCell ref="AA63:AB63"/>
    <mergeCell ref="C64:D64"/>
    <mergeCell ref="AA57:AB57"/>
    <mergeCell ref="C58:D58"/>
    <mergeCell ref="AA58:AB58"/>
    <mergeCell ref="C59:D59"/>
    <mergeCell ref="AA59:AB59"/>
    <mergeCell ref="C60:D60"/>
    <mergeCell ref="AA60:AB60"/>
    <mergeCell ref="AA64:AB64"/>
    <mergeCell ref="C65:D65"/>
    <mergeCell ref="AA65:AB65"/>
    <mergeCell ref="C66:D66"/>
    <mergeCell ref="AA66:AB66"/>
    <mergeCell ref="A67:A75"/>
    <mergeCell ref="C67:D67"/>
    <mergeCell ref="R67:R75"/>
    <mergeCell ref="AA67:AB67"/>
    <mergeCell ref="AA72:AB72"/>
    <mergeCell ref="A61:A66"/>
    <mergeCell ref="C61:D61"/>
    <mergeCell ref="R61:R66"/>
    <mergeCell ref="AA61:AB61"/>
    <mergeCell ref="C73:D73"/>
    <mergeCell ref="AA73:AB73"/>
    <mergeCell ref="C74:D74"/>
    <mergeCell ref="AA74:AB74"/>
    <mergeCell ref="C75:D75"/>
    <mergeCell ref="AA75:AB75"/>
    <mergeCell ref="AG67:AG75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</mergeCells>
  <phoneticPr fontId="3" type="noConversion"/>
  <conditionalFormatting sqref="O64:O72 O60:O61 O75 O5:O9 O14:O16 O22:O58">
    <cfRule type="cellIs" dxfId="125" priority="58" operator="greaterThan">
      <formula>0</formula>
    </cfRule>
  </conditionalFormatting>
  <conditionalFormatting sqref="P5:P7 P64:P65 AE64:AE65 P67:P72 P31:P37 P61 P9 P14:P16 P23:P29 P53:P58 P39:P51 AE5:AE61 AE67:AE75">
    <cfRule type="cellIs" dxfId="124" priority="62" operator="lessThan">
      <formula>0</formula>
    </cfRule>
  </conditionalFormatting>
  <conditionalFormatting sqref="AF64:AF65 Q64:Q72 Q60:Q61 Q75 Q5:Q9 Q14:Q16 Q22:Q58 AF5:AF61 AF67:AF75">
    <cfRule type="cellIs" dxfId="123" priority="59" operator="greaterThan">
      <formula>1</formula>
    </cfRule>
    <cfRule type="cellIs" dxfId="122" priority="60" operator="lessThan">
      <formula>0.8</formula>
    </cfRule>
  </conditionalFormatting>
  <conditionalFormatting sqref="AG15:AG16 R15:R16 AG64 R64:R72 R22:R28 AG22:AG28 AG60:AG61 R60:R61 R75 AG5:AG9 R5:R9 R30:R58 AG30:AG58">
    <cfRule type="cellIs" dxfId="121" priority="64" operator="lessThan">
      <formula>0.8</formula>
    </cfRule>
  </conditionalFormatting>
  <conditionalFormatting sqref="AG48">
    <cfRule type="cellIs" dxfId="120" priority="66" operator="lessThan">
      <formula>0.8</formula>
    </cfRule>
  </conditionalFormatting>
  <conditionalFormatting sqref="AG23:AG28">
    <cfRule type="cellIs" dxfId="119" priority="63" operator="lessThan">
      <formula>0.8</formula>
    </cfRule>
  </conditionalFormatting>
  <conditionalFormatting sqref="AG31">
    <cfRule type="cellIs" dxfId="118" priority="65" operator="lessThan">
      <formula>0.8</formula>
    </cfRule>
  </conditionalFormatting>
  <conditionalFormatting sqref="AG39:AG46">
    <cfRule type="cellIs" dxfId="117" priority="61" operator="lessThan">
      <formula>0.8</formula>
    </cfRule>
  </conditionalFormatting>
  <conditionalFormatting sqref="AE66">
    <cfRule type="cellIs" dxfId="116" priority="57" operator="lessThan">
      <formula>0</formula>
    </cfRule>
  </conditionalFormatting>
  <conditionalFormatting sqref="AF66">
    <cfRule type="cellIs" dxfId="115" priority="55" operator="greaterThan">
      <formula>1</formula>
    </cfRule>
    <cfRule type="cellIs" dxfId="114" priority="56" operator="lessThan">
      <formula>0.8</formula>
    </cfRule>
  </conditionalFormatting>
  <conditionalFormatting sqref="O17:O18">
    <cfRule type="cellIs" dxfId="113" priority="50" operator="greaterThan">
      <formula>0</formula>
    </cfRule>
  </conditionalFormatting>
  <conditionalFormatting sqref="P17:P18">
    <cfRule type="cellIs" dxfId="112" priority="53" operator="lessThan">
      <formula>0</formula>
    </cfRule>
  </conditionalFormatting>
  <conditionalFormatting sqref="Q17:Q18">
    <cfRule type="cellIs" dxfId="111" priority="51" operator="greaterThan">
      <formula>1</formula>
    </cfRule>
    <cfRule type="cellIs" dxfId="110" priority="52" operator="lessThan">
      <formula>0.8</formula>
    </cfRule>
  </conditionalFormatting>
  <conditionalFormatting sqref="R17:R18 AG17:AG18">
    <cfRule type="cellIs" dxfId="109" priority="54" operator="lessThan">
      <formula>0.8</formula>
    </cfRule>
  </conditionalFormatting>
  <conditionalFormatting sqref="O10:O13">
    <cfRule type="cellIs" dxfId="108" priority="46" operator="greaterThan">
      <formula>0</formula>
    </cfRule>
  </conditionalFormatting>
  <conditionalFormatting sqref="P10:P13">
    <cfRule type="cellIs" dxfId="107" priority="49" operator="lessThan">
      <formula>0</formula>
    </cfRule>
  </conditionalFormatting>
  <conditionalFormatting sqref="Q10:Q13">
    <cfRule type="cellIs" dxfId="106" priority="47" operator="greaterThan">
      <formula>1</formula>
    </cfRule>
    <cfRule type="cellIs" dxfId="105" priority="48" operator="lessThan">
      <formula>0.8</formula>
    </cfRule>
  </conditionalFormatting>
  <conditionalFormatting sqref="O59">
    <cfRule type="cellIs" dxfId="104" priority="41" operator="greaterThan">
      <formula>0</formula>
    </cfRule>
  </conditionalFormatting>
  <conditionalFormatting sqref="P59">
    <cfRule type="cellIs" dxfId="103" priority="44" operator="lessThan">
      <formula>0</formula>
    </cfRule>
  </conditionalFormatting>
  <conditionalFormatting sqref="Q59">
    <cfRule type="cellIs" dxfId="102" priority="42" operator="greaterThan">
      <formula>1</formula>
    </cfRule>
    <cfRule type="cellIs" dxfId="101" priority="43" operator="lessThan">
      <formula>0.8</formula>
    </cfRule>
  </conditionalFormatting>
  <conditionalFormatting sqref="R59 AG59">
    <cfRule type="cellIs" dxfId="100" priority="45" operator="lessThan">
      <formula>0.8</formula>
    </cfRule>
  </conditionalFormatting>
  <conditionalFormatting sqref="O63">
    <cfRule type="cellIs" dxfId="99" priority="36" operator="greaterThan">
      <formula>0</formula>
    </cfRule>
  </conditionalFormatting>
  <conditionalFormatting sqref="P63 AE63">
    <cfRule type="cellIs" dxfId="98" priority="39" operator="lessThan">
      <formula>0</formula>
    </cfRule>
  </conditionalFormatting>
  <conditionalFormatting sqref="Q63 AF63">
    <cfRule type="cellIs" dxfId="97" priority="37" operator="greaterThan">
      <formula>1</formula>
    </cfRule>
    <cfRule type="cellIs" dxfId="96" priority="38" operator="lessThan">
      <formula>0.8</formula>
    </cfRule>
  </conditionalFormatting>
  <conditionalFormatting sqref="R63 AG63">
    <cfRule type="cellIs" dxfId="95" priority="40" operator="lessThan">
      <formula>0.8</formula>
    </cfRule>
  </conditionalFormatting>
  <conditionalFormatting sqref="O73">
    <cfRule type="cellIs" dxfId="94" priority="31" operator="greaterThan">
      <formula>0</formula>
    </cfRule>
  </conditionalFormatting>
  <conditionalFormatting sqref="P73">
    <cfRule type="cellIs" dxfId="93" priority="34" operator="lessThan">
      <formula>0</formula>
    </cfRule>
  </conditionalFormatting>
  <conditionalFormatting sqref="Q73">
    <cfRule type="cellIs" dxfId="92" priority="32" operator="greaterThan">
      <formula>1</formula>
    </cfRule>
    <cfRule type="cellIs" dxfId="91" priority="33" operator="lessThan">
      <formula>0.8</formula>
    </cfRule>
  </conditionalFormatting>
  <conditionalFormatting sqref="R73">
    <cfRule type="cellIs" dxfId="90" priority="35" operator="lessThan">
      <formula>0.8</formula>
    </cfRule>
  </conditionalFormatting>
  <conditionalFormatting sqref="O19:O20">
    <cfRule type="cellIs" dxfId="89" priority="26" operator="greaterThan">
      <formula>0</formula>
    </cfRule>
  </conditionalFormatting>
  <conditionalFormatting sqref="P19:P20">
    <cfRule type="cellIs" dxfId="88" priority="29" operator="lessThan">
      <formula>0</formula>
    </cfRule>
  </conditionalFormatting>
  <conditionalFormatting sqref="Q19:Q20">
    <cfRule type="cellIs" dxfId="87" priority="27" operator="greaterThan">
      <formula>1</formula>
    </cfRule>
    <cfRule type="cellIs" dxfId="86" priority="28" operator="lessThan">
      <formula>0.8</formula>
    </cfRule>
  </conditionalFormatting>
  <conditionalFormatting sqref="R19:R20 AG19:AG20">
    <cfRule type="cellIs" dxfId="85" priority="30" operator="lessThan">
      <formula>0.8</formula>
    </cfRule>
  </conditionalFormatting>
  <conditionalFormatting sqref="R29 AG29">
    <cfRule type="cellIs" dxfId="84" priority="25" operator="lessThan">
      <formula>0.8</formula>
    </cfRule>
  </conditionalFormatting>
  <conditionalFormatting sqref="AG29">
    <cfRule type="cellIs" dxfId="83" priority="24" operator="lessThan">
      <formula>0.8</formula>
    </cfRule>
  </conditionalFormatting>
  <conditionalFormatting sqref="O62">
    <cfRule type="cellIs" dxfId="82" priority="19" operator="greaterThan">
      <formula>0</formula>
    </cfRule>
  </conditionalFormatting>
  <conditionalFormatting sqref="P62 AE62">
    <cfRule type="cellIs" dxfId="81" priority="22" operator="lessThan">
      <formula>0</formula>
    </cfRule>
  </conditionalFormatting>
  <conditionalFormatting sqref="Q62 AF62">
    <cfRule type="cellIs" dxfId="80" priority="20" operator="greaterThan">
      <formula>1</formula>
    </cfRule>
    <cfRule type="cellIs" dxfId="79" priority="21" operator="lessThan">
      <formula>0.8</formula>
    </cfRule>
  </conditionalFormatting>
  <conditionalFormatting sqref="R62 AG62">
    <cfRule type="cellIs" dxfId="78" priority="23" operator="lessThan">
      <formula>0.8</formula>
    </cfRule>
  </conditionalFormatting>
  <conditionalFormatting sqref="O21">
    <cfRule type="cellIs" dxfId="77" priority="14" operator="greaterThan">
      <formula>0</formula>
    </cfRule>
  </conditionalFormatting>
  <conditionalFormatting sqref="P21">
    <cfRule type="cellIs" dxfId="76" priority="17" operator="lessThan">
      <formula>0</formula>
    </cfRule>
  </conditionalFormatting>
  <conditionalFormatting sqref="Q21">
    <cfRule type="cellIs" dxfId="75" priority="15" operator="greaterThan">
      <formula>1</formula>
    </cfRule>
    <cfRule type="cellIs" dxfId="74" priority="16" operator="lessThan">
      <formula>0.8</formula>
    </cfRule>
  </conditionalFormatting>
  <conditionalFormatting sqref="AG21 R21">
    <cfRule type="cellIs" dxfId="73" priority="18" operator="lessThan">
      <formula>0.8</formula>
    </cfRule>
  </conditionalFormatting>
  <conditionalFormatting sqref="P8">
    <cfRule type="cellIs" dxfId="72" priority="13" operator="lessThan">
      <formula>0</formula>
    </cfRule>
  </conditionalFormatting>
  <conditionalFormatting sqref="P22">
    <cfRule type="cellIs" dxfId="71" priority="12" operator="lessThan">
      <formula>0</formula>
    </cfRule>
  </conditionalFormatting>
  <conditionalFormatting sqref="P30">
    <cfRule type="cellIs" dxfId="70" priority="11" operator="lessThan">
      <formula>0</formula>
    </cfRule>
  </conditionalFormatting>
  <conditionalFormatting sqref="P38">
    <cfRule type="cellIs" dxfId="69" priority="10" operator="lessThan">
      <formula>0</formula>
    </cfRule>
  </conditionalFormatting>
  <conditionalFormatting sqref="P52">
    <cfRule type="cellIs" dxfId="68" priority="9" operator="lessThan">
      <formula>0</formula>
    </cfRule>
  </conditionalFormatting>
  <conditionalFormatting sqref="P60">
    <cfRule type="cellIs" dxfId="67" priority="8" operator="lessThan">
      <formula>0</formula>
    </cfRule>
  </conditionalFormatting>
  <conditionalFormatting sqref="P66">
    <cfRule type="cellIs" dxfId="66" priority="7" operator="lessThan">
      <formula>0</formula>
    </cfRule>
  </conditionalFormatting>
  <conditionalFormatting sqref="P75">
    <cfRule type="cellIs" dxfId="65" priority="6" operator="lessThan">
      <formula>0</formula>
    </cfRule>
  </conditionalFormatting>
  <conditionalFormatting sqref="O74">
    <cfRule type="cellIs" dxfId="64" priority="1" operator="greaterThan">
      <formula>0</formula>
    </cfRule>
  </conditionalFormatting>
  <conditionalFormatting sqref="P74">
    <cfRule type="cellIs" dxfId="63" priority="4" operator="lessThan">
      <formula>0</formula>
    </cfRule>
  </conditionalFormatting>
  <conditionalFormatting sqref="Q74">
    <cfRule type="cellIs" dxfId="62" priority="2" operator="greaterThan">
      <formula>1</formula>
    </cfRule>
    <cfRule type="cellIs" dxfId="61" priority="3" operator="lessThan">
      <formula>0.8</formula>
    </cfRule>
  </conditionalFormatting>
  <conditionalFormatting sqref="R74">
    <cfRule type="cellIs" dxfId="60" priority="5" operator="lessThan">
      <formula>0.8</formula>
    </cfRule>
  </conditionalFormatting>
  <dataValidations count="1">
    <dataValidation type="list" allowBlank="1" showInputMessage="1" showErrorMessage="1" sqref="AB8 AA5:AB7 AB65 AB10:AB61 AA8:AA65 AA66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42EF26-8B97-4130-9B87-E98C3F9F47D6}"/>
</file>

<file path=customXml/itemProps2.xml><?xml version="1.0" encoding="utf-8"?>
<ds:datastoreItem xmlns:ds="http://schemas.openxmlformats.org/officeDocument/2006/customXml" ds:itemID="{DB859FFB-B588-4524-8439-454C1CDA4A7D}"/>
</file>

<file path=customXml/itemProps3.xml><?xml version="1.0" encoding="utf-8"?>
<ds:datastoreItem xmlns:ds="http://schemas.openxmlformats.org/officeDocument/2006/customXml" ds:itemID="{5E29F0F5-9A4D-4A68-B9D7-F5C026D26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0630</vt:lpstr>
      <vt:lpstr>0630 4度C</vt:lpstr>
      <vt:lpstr>0629</vt:lpstr>
      <vt:lpstr>0629 4度C</vt:lpstr>
      <vt:lpstr>0628</vt:lpstr>
      <vt:lpstr>0628 4度C</vt:lpstr>
      <vt:lpstr>0627</vt:lpstr>
      <vt:lpstr>0627 4度C</vt:lpstr>
      <vt:lpstr>0626</vt:lpstr>
      <vt:lpstr>0626 4度C</vt:lpstr>
      <vt:lpstr>0625</vt:lpstr>
      <vt:lpstr>0625 4度C</vt:lpstr>
      <vt:lpstr>0624</vt:lpstr>
      <vt:lpstr>0624 4度C</vt:lpstr>
      <vt:lpstr>0623</vt:lpstr>
      <vt:lpstr>0623 4度C</vt:lpstr>
      <vt:lpstr>0622</vt:lpstr>
      <vt:lpstr>0622 4度C</vt:lpstr>
      <vt:lpstr>0621</vt:lpstr>
      <vt:lpstr>0621 4度C</vt:lpstr>
      <vt:lpstr>0620</vt:lpstr>
      <vt:lpstr>0620 4度C</vt:lpstr>
      <vt:lpstr>0619</vt:lpstr>
      <vt:lpstr>0619 4度C</vt:lpstr>
      <vt:lpstr>0618</vt:lpstr>
      <vt:lpstr>0618 4度C</vt:lpstr>
      <vt:lpstr>0617</vt:lpstr>
      <vt:lpstr>0617 4度C</vt:lpstr>
      <vt:lpstr>0616</vt:lpstr>
      <vt:lpstr>0616 4度C</vt:lpstr>
      <vt:lpstr>0615</vt:lpstr>
      <vt:lpstr>0615 4度C</vt:lpstr>
      <vt:lpstr>0614</vt:lpstr>
      <vt:lpstr>0614 4度C</vt:lpstr>
      <vt:lpstr>0613</vt:lpstr>
      <vt:lpstr>0613 4度C</vt:lpstr>
      <vt:lpstr>0612</vt:lpstr>
      <vt:lpstr>0612 4度C</vt:lpstr>
      <vt:lpstr>0611</vt:lpstr>
      <vt:lpstr>0611 4度C</vt:lpstr>
      <vt:lpstr>0610</vt:lpstr>
      <vt:lpstr>0610 4度C</vt:lpstr>
      <vt:lpstr>0609</vt:lpstr>
      <vt:lpstr>0609 4度C</vt:lpstr>
      <vt:lpstr>0608</vt:lpstr>
      <vt:lpstr>0608 4度C</vt:lpstr>
      <vt:lpstr>0607</vt:lpstr>
      <vt:lpstr>0607 4度C</vt:lpstr>
      <vt:lpstr>0606</vt:lpstr>
      <vt:lpstr>0606 4度C</vt:lpstr>
      <vt:lpstr>0605</vt:lpstr>
      <vt:lpstr>0605 4度C</vt:lpstr>
      <vt:lpstr>0604</vt:lpstr>
      <vt:lpstr>0604 4度C</vt:lpstr>
      <vt:lpstr>0603</vt:lpstr>
      <vt:lpstr>0603 4度C</vt:lpstr>
      <vt:lpstr>0602</vt:lpstr>
      <vt:lpstr>0602 4度C</vt:lpstr>
      <vt:lpstr>0601</vt:lpstr>
      <vt:lpstr>0601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新豐生管01</cp:lastModifiedBy>
  <dcterms:created xsi:type="dcterms:W3CDTF">2026-05-02T01:50:16Z</dcterms:created>
  <dcterms:modified xsi:type="dcterms:W3CDTF">2026-07-01T00:54:56Z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